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defaultThemeVersion="124226"/>
  <bookViews>
    <workbookView xWindow="0" yWindow="0" windowWidth="20730" windowHeight="11760" tabRatio="916"/>
  </bookViews>
  <sheets>
    <sheet name="Orçamento" sheetId="57" r:id="rId1"/>
    <sheet name="Quant." sheetId="65" r:id="rId2"/>
    <sheet name="QCI" sheetId="58" r:id="rId3"/>
    <sheet name="Cronograma" sheetId="5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a">#REF!</definedName>
    <definedName name="_Ele200502">#REF!</definedName>
    <definedName name="_Ele200609">#REF!</definedName>
    <definedName name="_xlnm._FilterDatabase" localSheetId="0" hidden="1">Orçamento!$B$2:$B$62</definedName>
    <definedName name="_pv2">#REF!</definedName>
    <definedName name="_pv3">#REF!</definedName>
    <definedName name="_Ser200506">#REF!</definedName>
    <definedName name="_Ser200705">#REF!</definedName>
    <definedName name="_Ser200712">#REF!</definedName>
    <definedName name="_Ser201104">#REF!</definedName>
    <definedName name="_TR2">#REF!</definedName>
    <definedName name="_TR5">#REF!</definedName>
    <definedName name="A">#REF!</definedName>
    <definedName name="A010160100">'[1]DADOS COLETATO'!$L$9</definedName>
    <definedName name="A010505000">'[1]DADOS COLETATO'!$L$10</definedName>
    <definedName name="A020200010">'[1]DADOS COLETATO'!$L$11</definedName>
    <definedName name="A020200080">'[1]DADOS COLETATO'!$L$12</definedName>
    <definedName name="A03.020.0851">'[1]DADOS COLETATO'!$L$23</definedName>
    <definedName name="A030130010">'[1]DADOS COLETATO'!$L$13</definedName>
    <definedName name="A030130011">'[1]DADOS COLETATO'!$L$14</definedName>
    <definedName name="A030160501">'[1]DADOS COLETATO'!$L$15</definedName>
    <definedName name="A030250100">'[1]DADOS COLETATO'!$L$16</definedName>
    <definedName name="A040050130">'[1]DADOS COLETATO'!$L$17</definedName>
    <definedName name="A040110511">'[1]DADOS COLETATO'!$L$18</definedName>
    <definedName name="A050150050">'[1]DADOS COLETATO'!$L$19</definedName>
    <definedName name="A050200140">'[1]DADOS COLETATO'!$L$20</definedName>
    <definedName name="A050210050">'[1]DADOS COLETATO'!$L$21</definedName>
    <definedName name="A050210100">'[1]DADOS COLETATO'!$L$22</definedName>
    <definedName name="A050210750">'[1]DADOS COLETATO'!$O$9</definedName>
    <definedName name="a06.004.0320">'[1]DADOS COLETATO'!$O$23</definedName>
    <definedName name="A060030500">'[1]DADOS COLETATO'!$O$10</definedName>
    <definedName name="A060040300">'[1]DADOS COLETATO'!$O$11</definedName>
    <definedName name="A060140120">'[1]DADOS COLETATO'!$O$12</definedName>
    <definedName name="A060160120">'[1]DADOS COLETATO'!$O$13</definedName>
    <definedName name="A060160410">'[1]DADOS COLETATO'!$O$14</definedName>
    <definedName name="A080010030">'[1]DADOS COLETATO'!$O$15</definedName>
    <definedName name="A080150100">'[1]DADOS COLETATO'!$O$16</definedName>
    <definedName name="A080270120">'[1]DADOS COLETATO'!$O$17</definedName>
    <definedName name="A150010310">'[1]DADOS COLETATO'!$O$18</definedName>
    <definedName name="A200040031">'[1]DADOS COLETATO'!$O$19</definedName>
    <definedName name="A200090011">'[1]DADOS COLETATO'!$O$20</definedName>
    <definedName name="A200280200">'[1]DADOS COLETATO'!$O$21</definedName>
    <definedName name="Abrigo_moto_gerador_consulta">#REF!</definedName>
    <definedName name="Acesso_Estacao_01">#REF!</definedName>
    <definedName name="adfv">#REF!</definedName>
    <definedName name="Administração">#REF!</definedName>
    <definedName name="alturadocorte">'[1]DADOS COLETATO'!$G$9</definedName>
    <definedName name="_xlnm.Print_Area" localSheetId="3">Cronograma!$B$2:$J$24</definedName>
    <definedName name="_xlnm.Print_Area" localSheetId="0">Orçamento!$C$2:$Q$78</definedName>
    <definedName name="_xlnm.Print_Area" localSheetId="2">QCI!$B$2:$N$35</definedName>
    <definedName name="_xlnm.Print_Area" localSheetId="1">Quant.!$C$3:$J$346</definedName>
    <definedName name="_xlnm.Print_Area">#REF!</definedName>
    <definedName name="_xlnm.Database">#REF!</definedName>
    <definedName name="BASICO">#REF!</definedName>
    <definedName name="botafora">'[1]DADOS COLETATO'!$C$40</definedName>
    <definedName name="brita">'[1]DADOS COLETATO'!$G$10</definedName>
    <definedName name="bstc20">'[1]DADOS COLETATO'!$I$31</definedName>
    <definedName name="bstc40">'[1]DADOS COLETATO'!$I$30</definedName>
    <definedName name="bstc60">'[1]DADOS COLETATO'!$I$29</definedName>
    <definedName name="bstc80">'[1]DADOS COLETATO'!$I$28</definedName>
    <definedName name="C_">#REF!</definedName>
    <definedName name="caixadecentro">'[1]DADOS COLETATO'!$C$28</definedName>
    <definedName name="Casa_de_maquinas">#REF!</definedName>
    <definedName name="CERCA">#REF!</definedName>
    <definedName name="Cisterna_e_Castelo_d_agua_Consulta">#REF!</definedName>
    <definedName name="Codigos">#REF!</definedName>
    <definedName name="COMPRIM">#REF!</definedName>
    <definedName name="comprimento">'[1]DADOS COLETATO'!$E$11</definedName>
    <definedName name="Construcao_Casa_Maq_Plano_Inclinado">#REF!</definedName>
    <definedName name="Construcao_de_Acesso_a_Estacao_I">'[2]12.1'!$A$8:$F$105</definedName>
    <definedName name="Construcao_do_acesso_a_Estacao_I">#REF!</definedName>
    <definedName name="Construcao_Escadaria_Apoio">#REF!</definedName>
    <definedName name="Contencao">#REF!</definedName>
    <definedName name="Contencao_">#REF!</definedName>
    <definedName name="Dem_Lavanderia">#REF!</definedName>
    <definedName name="Demolicao_de_Guarita_Consulta">#REF!</definedName>
    <definedName name="Demolicao_Lavanderia_Existente">#REF!</definedName>
    <definedName name="Descricao">#REF!</definedName>
    <definedName name="DEZEMBRO06">#REF!</definedName>
    <definedName name="DRENAGEM">#REF!</definedName>
    <definedName name="ELEMVS07">#REF!</definedName>
    <definedName name="ELEVATÓRIAS">#REF!</definedName>
    <definedName name="empolamento">'[1]DADOS COLETATO'!$I$41</definedName>
    <definedName name="Escadaria">#REF!</definedName>
    <definedName name="ESCMAN">#REF!</definedName>
    <definedName name="ESCRITÓRIO">#REF!</definedName>
    <definedName name="ESGOTO">#REF!</definedName>
    <definedName name="ESSENCIAIS">'[3]BLOCOS ANCORAGEM'!#REF!</definedName>
    <definedName name="Estacao_01">#REF!</definedName>
    <definedName name="Estacao_02">#REF!</definedName>
    <definedName name="Estacao_03">#REF!</definedName>
    <definedName name="Estacao_04">#REF!</definedName>
    <definedName name="Estacao_05">#REF!</definedName>
    <definedName name="ETE">#REF!</definedName>
    <definedName name="Execucao_Fundacoes_Plano_Inclinado">#REF!</definedName>
    <definedName name="EXT">'[4]QUADRA POLIESPORTIVA'!#REF!</definedName>
    <definedName name="F">#REF!</definedName>
    <definedName name="FGV">[5]SCO0504!$B$1:$E$65536</definedName>
    <definedName name="FGVC">[5]SCO0504!$A$1:$E$65536</definedName>
    <definedName name="FGVC0504">#REF!</definedName>
    <definedName name="FGVSER">#REF!</definedName>
    <definedName name="Fundacao_Plano_Inclinado">#REF!</definedName>
    <definedName name="Implantacao_Consulta">#REF!</definedName>
    <definedName name="INTERCEPTORES___EMISSÁRIOS">#REF!</definedName>
    <definedName name="LARGURA">#REF!</definedName>
    <definedName name="LINHAS_DE_RECALQUE">#REF!</definedName>
    <definedName name="meiofio">'[1]DADOS COLETATO'!$E$12</definedName>
    <definedName name="Mob">#REF!</definedName>
    <definedName name="N">'[6]Orçamento Real'!#REF!</definedName>
    <definedName name="Ordem">'[7]Resumo do Consolidado'!$O$1:$P$65536</definedName>
    <definedName name="OUTROS">#REF!</definedName>
    <definedName name="Paisagismo_Consulta">#REF!</definedName>
    <definedName name="PAVIMENTAÇÃO">#REF!</definedName>
    <definedName name="PBR">#REF!</definedName>
    <definedName name="pedreira">'[1]DADOS COLETATO'!$C$41</definedName>
    <definedName name="pesobrita">'[1]DADOS COLETATO'!$I$42</definedName>
    <definedName name="pesoespecifico">'[1]DADOS COLETATO'!$I$40</definedName>
    <definedName name="plani">#REF!</definedName>
    <definedName name="Poste">#REF!</definedName>
    <definedName name="Preco">#REF!</definedName>
    <definedName name="Predio_02_andares_Consulta">[8]Predio_02_andares!$A$8:$F$723</definedName>
    <definedName name="Preparo_Terreno">#REF!</definedName>
    <definedName name="PRT">#REF!</definedName>
    <definedName name="pv">#REF!</definedName>
    <definedName name="ralo">'[1]DADOS COLETATO'!$C$29</definedName>
    <definedName name="REDE_COLETORA">#REF!</definedName>
    <definedName name="REF_SERVICOS">#REF!</definedName>
    <definedName name="RTL">#REF!</definedName>
    <definedName name="Sede_Detran_Consulta">#REF!</definedName>
    <definedName name="SERVIÇOS_COMPLEMENTARES">#REF!</definedName>
    <definedName name="SERVIÇOS_PRELIMINARES">#REF!</definedName>
    <definedName name="Servicos_Tecnicos">#REF!</definedName>
    <definedName name="Servicos_Tecnicos_">#REF!</definedName>
    <definedName name="solver_adj" localSheetId="0" hidden="1">Orçamento!#REF!</definedName>
    <definedName name="solver_adj" localSheetId="1" hidden="1">Quant.!#REF!</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Orçamento!#REF!</definedName>
    <definedName name="solver_opt" localSheetId="1" hidden="1">Quant.!#REF!</definedName>
    <definedName name="solver_pre" localSheetId="0" hidden="1">0.000001</definedName>
    <definedName name="solver_pre" localSheetId="1" hidden="1">0.000001</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4785546.03</definedName>
    <definedName name="solver_val" localSheetId="1" hidden="1">4785546.03</definedName>
    <definedName name="TERRAPLENAGEM">#REF!</definedName>
    <definedName name="_xlnm.Print_Titles" localSheetId="0">Orçamento!$2:$23</definedName>
    <definedName name="_xlnm.Print_Titles" localSheetId="1">Quant.!$2:$14</definedName>
    <definedName name="urb">#REF!</definedName>
    <definedName name="usina">'[1]DADOS COLETATO'!$C$42</definedName>
    <definedName name="volumedebrita">'[1]DADOS COLETATO'!$I$10</definedName>
    <definedName name="volumedecorte">'[1]DADOS COLETATO'!$I$9</definedName>
    <definedName name="volumedepv">'[1]DADOS COLETATO'!$I$11</definedName>
    <definedName name="XXX010160100">#REF!</definedName>
  </definedNames>
  <calcPr calcId="124519"/>
</workbook>
</file>

<file path=xl/calcChain.xml><?xml version="1.0" encoding="utf-8"?>
<calcChain xmlns="http://schemas.openxmlformats.org/spreadsheetml/2006/main">
  <c r="D18" i="59"/>
  <c r="D16"/>
  <c r="D14"/>
  <c r="D12"/>
  <c r="D10"/>
  <c r="M68" i="57"/>
  <c r="O68" s="1"/>
  <c r="P68" s="1"/>
  <c r="F342" i="65"/>
  <c r="F344" s="1"/>
  <c r="J340" s="1"/>
  <c r="M71" i="57" s="1"/>
  <c r="O71" s="1"/>
  <c r="P71" s="1"/>
  <c r="F334" i="65"/>
  <c r="F336" s="1"/>
  <c r="J332" s="1"/>
  <c r="M70" i="57" s="1"/>
  <c r="O70" s="1"/>
  <c r="P70" s="1"/>
  <c r="I309" i="65"/>
  <c r="D309"/>
  <c r="H322"/>
  <c r="E322"/>
  <c r="H317"/>
  <c r="E316"/>
  <c r="H324" s="1"/>
  <c r="H326" s="1"/>
  <c r="J310" s="1"/>
  <c r="M69" i="57" s="1"/>
  <c r="O69" s="1"/>
  <c r="P69" s="1"/>
  <c r="E305" i="65"/>
  <c r="H299"/>
  <c r="E299"/>
  <c r="E291"/>
  <c r="J287" s="1"/>
  <c r="M66" i="57" s="1"/>
  <c r="O66" s="1"/>
  <c r="P66" s="1"/>
  <c r="E286" i="65"/>
  <c r="J281" s="1"/>
  <c r="M65" i="57" s="1"/>
  <c r="O65" s="1"/>
  <c r="P65" s="1"/>
  <c r="H276" i="65"/>
  <c r="G268"/>
  <c r="F268"/>
  <c r="E268"/>
  <c r="H270" s="1"/>
  <c r="H278" s="1"/>
  <c r="H280" s="1"/>
  <c r="J251" s="1"/>
  <c r="M64" i="57" s="1"/>
  <c r="O64" s="1"/>
  <c r="G258" i="65"/>
  <c r="F258"/>
  <c r="E258"/>
  <c r="G257"/>
  <c r="F257"/>
  <c r="E257"/>
  <c r="H260" s="1"/>
  <c r="D281"/>
  <c r="I281"/>
  <c r="I310"/>
  <c r="I293"/>
  <c r="I287"/>
  <c r="I251"/>
  <c r="E183"/>
  <c r="J180"/>
  <c r="I185"/>
  <c r="I191"/>
  <c r="I180"/>
  <c r="I184"/>
  <c r="E179"/>
  <c r="J176"/>
  <c r="M47" i="57" s="1"/>
  <c r="O47" s="1"/>
  <c r="P47" s="1"/>
  <c r="E175" i="65"/>
  <c r="J170" s="1"/>
  <c r="M46" i="57" s="1"/>
  <c r="O46" s="1"/>
  <c r="P46" s="1"/>
  <c r="F169" i="65"/>
  <c r="J165"/>
  <c r="M45" i="57" s="1"/>
  <c r="O45" s="1"/>
  <c r="P45" s="1"/>
  <c r="E163" i="65"/>
  <c r="J156" s="1"/>
  <c r="M44" i="57" s="1"/>
  <c r="O44" s="1"/>
  <c r="P44" s="1"/>
  <c r="H138" i="65"/>
  <c r="E138"/>
  <c r="H132"/>
  <c r="H122"/>
  <c r="E122"/>
  <c r="E116"/>
  <c r="H116"/>
  <c r="E107"/>
  <c r="F93"/>
  <c r="F92"/>
  <c r="I92" s="1"/>
  <c r="J90" s="1"/>
  <c r="M36" i="57" s="1"/>
  <c r="O36" s="1"/>
  <c r="P36" s="1"/>
  <c r="F87" i="65"/>
  <c r="F86"/>
  <c r="F81"/>
  <c r="F80"/>
  <c r="E69"/>
  <c r="H70"/>
  <c r="E76"/>
  <c r="E154"/>
  <c r="H148"/>
  <c r="E147"/>
  <c r="H61"/>
  <c r="E62"/>
  <c r="F52"/>
  <c r="J45" s="1"/>
  <c r="M32" i="57" s="1"/>
  <c r="O32" s="1"/>
  <c r="P32" s="1"/>
  <c r="F43" i="65"/>
  <c r="J37" s="1"/>
  <c r="M31" i="57" s="1"/>
  <c r="O31" s="1"/>
  <c r="P31" s="1"/>
  <c r="F34" i="65"/>
  <c r="M28" i="57"/>
  <c r="O28" s="1"/>
  <c r="I25" i="65"/>
  <c r="I24"/>
  <c r="D24"/>
  <c r="J17"/>
  <c r="M26" i="57" s="1"/>
  <c r="O26" s="1"/>
  <c r="I16" i="65"/>
  <c r="O25" i="57"/>
  <c r="P25"/>
  <c r="D17" i="65"/>
  <c r="E232"/>
  <c r="J228" s="1"/>
  <c r="E238"/>
  <c r="J234" s="1"/>
  <c r="E241"/>
  <c r="E243" s="1"/>
  <c r="J240" s="1"/>
  <c r="I240"/>
  <c r="D240"/>
  <c r="D140"/>
  <c r="D125"/>
  <c r="F102"/>
  <c r="J98"/>
  <c r="E106" s="1"/>
  <c r="E108" s="1"/>
  <c r="J104" s="1"/>
  <c r="M40" i="57" s="1"/>
  <c r="O40" s="1"/>
  <c r="P40" s="1"/>
  <c r="D104" i="65"/>
  <c r="D98"/>
  <c r="D97"/>
  <c r="E246"/>
  <c r="E249"/>
  <c r="J244" s="1"/>
  <c r="I244"/>
  <c r="D244"/>
  <c r="I234"/>
  <c r="D234"/>
  <c r="I228"/>
  <c r="D228"/>
  <c r="J227"/>
  <c r="I227"/>
  <c r="D227"/>
  <c r="I226"/>
  <c r="D226"/>
  <c r="E223"/>
  <c r="E224"/>
  <c r="J220" s="1"/>
  <c r="I220"/>
  <c r="D220"/>
  <c r="E217"/>
  <c r="E216"/>
  <c r="E215"/>
  <c r="I212"/>
  <c r="D212"/>
  <c r="E210"/>
  <c r="J206"/>
  <c r="E214" s="1"/>
  <c r="E218" s="1"/>
  <c r="J212" s="1"/>
  <c r="I206"/>
  <c r="D206"/>
  <c r="E204"/>
  <c r="H199"/>
  <c r="E199"/>
  <c r="I193"/>
  <c r="D193"/>
  <c r="D195" s="1"/>
  <c r="D192"/>
  <c r="F189"/>
  <c r="D156"/>
  <c r="D184"/>
  <c r="D90"/>
  <c r="D84"/>
  <c r="D78"/>
  <c r="D96"/>
  <c r="F27"/>
  <c r="F29"/>
  <c r="J25" s="1"/>
  <c r="G8" i="58"/>
  <c r="D13"/>
  <c r="D14"/>
  <c r="D15"/>
  <c r="D16"/>
  <c r="D17"/>
  <c r="D18"/>
  <c r="D19"/>
  <c r="D20"/>
  <c r="D21"/>
  <c r="D22"/>
  <c r="D23"/>
  <c r="D24"/>
  <c r="D25"/>
  <c r="D26"/>
  <c r="D27"/>
  <c r="M27"/>
  <c r="J27" s="1"/>
  <c r="D28"/>
  <c r="M28"/>
  <c r="J28" s="1"/>
  <c r="D29"/>
  <c r="M29"/>
  <c r="J29" s="1"/>
  <c r="D30"/>
  <c r="M30"/>
  <c r="J30" s="1"/>
  <c r="D31"/>
  <c r="D32"/>
  <c r="M32"/>
  <c r="J32" s="1"/>
  <c r="L33"/>
  <c r="C6" i="65"/>
  <c r="C8"/>
  <c r="E8"/>
  <c r="J9"/>
  <c r="D15"/>
  <c r="D16"/>
  <c r="D23"/>
  <c r="D25"/>
  <c r="D31"/>
  <c r="D37"/>
  <c r="D45"/>
  <c r="D54"/>
  <c r="D110"/>
  <c r="D165"/>
  <c r="D170"/>
  <c r="D176"/>
  <c r="D180"/>
  <c r="D185"/>
  <c r="D191"/>
  <c r="D250"/>
  <c r="D251"/>
  <c r="D287"/>
  <c r="D293"/>
  <c r="D310"/>
  <c r="D332"/>
  <c r="D340"/>
  <c r="M31" i="58"/>
  <c r="J31" s="1"/>
  <c r="M26"/>
  <c r="J26" s="1"/>
  <c r="O59" i="57"/>
  <c r="P59" s="1"/>
  <c r="O57"/>
  <c r="P57" s="1"/>
  <c r="O56"/>
  <c r="P56" s="1"/>
  <c r="O60"/>
  <c r="P60" s="1"/>
  <c r="O53"/>
  <c r="P53" s="1"/>
  <c r="O62"/>
  <c r="P62" s="1"/>
  <c r="O55"/>
  <c r="P55" s="1"/>
  <c r="O54"/>
  <c r="P54" s="1"/>
  <c r="O61"/>
  <c r="P61" s="1"/>
  <c r="O58"/>
  <c r="P58" s="1"/>
  <c r="M25" i="58"/>
  <c r="J25" s="1"/>
  <c r="M19"/>
  <c r="J19" s="1"/>
  <c r="H306" i="65"/>
  <c r="H308"/>
  <c r="J293" s="1"/>
  <c r="M67" i="57" s="1"/>
  <c r="O67" s="1"/>
  <c r="P67" s="1"/>
  <c r="J185" i="65"/>
  <c r="M48" i="57"/>
  <c r="O48" s="1"/>
  <c r="P48" s="1"/>
  <c r="J184" i="65"/>
  <c r="M49" i="57"/>
  <c r="O49" s="1"/>
  <c r="P49" s="1"/>
  <c r="J125" i="65"/>
  <c r="M42" i="57"/>
  <c r="O42" s="1"/>
  <c r="P42" s="1"/>
  <c r="M39"/>
  <c r="O39" s="1"/>
  <c r="J110" i="65"/>
  <c r="M41" i="57" s="1"/>
  <c r="O41" s="1"/>
  <c r="P41" s="1"/>
  <c r="F82" i="65"/>
  <c r="J78" s="1"/>
  <c r="M34" i="57" s="1"/>
  <c r="O34" s="1"/>
  <c r="P34" s="1"/>
  <c r="F88" i="65"/>
  <c r="J54"/>
  <c r="M33" i="57" s="1"/>
  <c r="O33" s="1"/>
  <c r="P33" s="1"/>
  <c r="J140" i="65"/>
  <c r="J193"/>
  <c r="M17" i="58"/>
  <c r="J17" s="1"/>
  <c r="M23"/>
  <c r="J23" s="1"/>
  <c r="O38" i="57"/>
  <c r="P38" s="1"/>
  <c r="J191" i="65"/>
  <c r="M51" i="57" s="1"/>
  <c r="O51" s="1"/>
  <c r="P51" s="1"/>
  <c r="M50"/>
  <c r="O50" s="1"/>
  <c r="P50" s="1"/>
  <c r="M43"/>
  <c r="O43"/>
  <c r="P43" s="1"/>
  <c r="J84" i="65"/>
  <c r="M35" i="57"/>
  <c r="O35" s="1"/>
  <c r="P35" s="1"/>
  <c r="O52" l="1"/>
  <c r="P52"/>
  <c r="H16" i="59" s="1"/>
  <c r="E17" s="1"/>
  <c r="F33" i="65"/>
  <c r="F35" s="1"/>
  <c r="J31" s="1"/>
  <c r="M30" i="57" s="1"/>
  <c r="O30" s="1"/>
  <c r="P30" s="1"/>
  <c r="M29"/>
  <c r="O29" s="1"/>
  <c r="P29" s="1"/>
  <c r="M20" i="58"/>
  <c r="J20" s="1"/>
  <c r="M22"/>
  <c r="J22" s="1"/>
  <c r="M21"/>
  <c r="J21" s="1"/>
  <c r="M18"/>
  <c r="J18" s="1"/>
  <c r="P26" i="57"/>
  <c r="P24" s="1"/>
  <c r="H10" i="59" s="1"/>
  <c r="O24" i="57"/>
  <c r="M13" i="58" s="1"/>
  <c r="J13" s="1"/>
  <c r="P28" i="57"/>
  <c r="O27"/>
  <c r="M14" i="58" s="1"/>
  <c r="O63" i="57"/>
  <c r="P64"/>
  <c r="P63" s="1"/>
  <c r="O37"/>
  <c r="M15" i="58" s="1"/>
  <c r="J15" s="1"/>
  <c r="P39" i="57"/>
  <c r="P37" s="1"/>
  <c r="H14" i="59" s="1"/>
  <c r="G11"/>
  <c r="E11"/>
  <c r="F11"/>
  <c r="F17"/>
  <c r="G17" l="1"/>
  <c r="P27" i="57"/>
  <c r="H12" i="59" s="1"/>
  <c r="F13" s="1"/>
  <c r="J14" i="58"/>
  <c r="O72" i="57"/>
  <c r="M24" i="58"/>
  <c r="J24" s="1"/>
  <c r="F15" i="59"/>
  <c r="E15"/>
  <c r="G15"/>
  <c r="P72" i="57"/>
  <c r="H18" i="59"/>
  <c r="E13"/>
  <c r="G13"/>
  <c r="H21"/>
  <c r="I12" s="1"/>
  <c r="J33" i="58" l="1"/>
  <c r="K14" s="1"/>
  <c r="M33"/>
  <c r="I16" i="59"/>
  <c r="I10"/>
  <c r="I18"/>
  <c r="F19"/>
  <c r="F21" s="1"/>
  <c r="F22" s="1"/>
  <c r="G19"/>
  <c r="G21" s="1"/>
  <c r="G22" s="1"/>
  <c r="E19"/>
  <c r="E21" s="1"/>
  <c r="E22" s="1"/>
  <c r="E23" s="1"/>
  <c r="I14"/>
  <c r="K24" i="58" l="1"/>
  <c r="F23" i="59"/>
  <c r="G23" s="1"/>
  <c r="L34" i="58"/>
  <c r="K20"/>
  <c r="I21" i="59"/>
  <c r="K30" i="58"/>
  <c r="J34"/>
  <c r="K28"/>
  <c r="K13"/>
  <c r="K17"/>
  <c r="K32"/>
  <c r="K18"/>
  <c r="K23"/>
  <c r="K19"/>
  <c r="K31"/>
  <c r="K22"/>
  <c r="K21"/>
  <c r="K27"/>
  <c r="K25"/>
  <c r="K29"/>
  <c r="K26"/>
  <c r="K15"/>
  <c r="M34" l="1"/>
</calcChain>
</file>

<file path=xl/sharedStrings.xml><?xml version="1.0" encoding="utf-8"?>
<sst xmlns="http://schemas.openxmlformats.org/spreadsheetml/2006/main" count="820" uniqueCount="296">
  <si>
    <t>Total</t>
  </si>
  <si>
    <t>CÓDIGO</t>
  </si>
  <si>
    <t>FONTE</t>
  </si>
  <si>
    <t>Valores</t>
  </si>
  <si>
    <t>Custo</t>
  </si>
  <si>
    <t xml:space="preserve">UNITÁRIO </t>
  </si>
  <si>
    <t>DESCRIÇÃO DO SERVIÇO</t>
  </si>
  <si>
    <t>ITEM</t>
  </si>
  <si>
    <t>Proponente</t>
  </si>
  <si>
    <t>Composição do BDI Sugerida</t>
  </si>
  <si>
    <t>Intervalos admissíveis sem Justificativa</t>
  </si>
  <si>
    <t>Composição de BDI Adotada</t>
  </si>
  <si>
    <t>Garantia (G)</t>
  </si>
  <si>
    <t>De 0,00% até 0,42%</t>
  </si>
  <si>
    <t>Garantia</t>
  </si>
  <si>
    <t>BDI=</t>
  </si>
  <si>
    <t>Risco (R.)</t>
  </si>
  <si>
    <t>De 0,00% até 2,05%</t>
  </si>
  <si>
    <t>Risco</t>
  </si>
  <si>
    <t>1-T</t>
  </si>
  <si>
    <t>De 0,00% até 1,20%</t>
  </si>
  <si>
    <t>Despesas Financeiras</t>
  </si>
  <si>
    <t>De 0,11% até 8,03%</t>
  </si>
  <si>
    <t>Observação:</t>
  </si>
  <si>
    <t>Lucro (L)</t>
  </si>
  <si>
    <t>De 3,83% até 9,96%</t>
  </si>
  <si>
    <t>Lucro</t>
  </si>
  <si>
    <t xml:space="preserve">Tributos (T) </t>
  </si>
  <si>
    <t>De 5,65% até 8,65%</t>
  </si>
  <si>
    <t>UNI.</t>
  </si>
  <si>
    <t>QUANT.</t>
  </si>
  <si>
    <t/>
  </si>
  <si>
    <t>QUADRO DE COMPOSIÇÃO DO INVESTIMENTO</t>
  </si>
  <si>
    <t>Item</t>
  </si>
  <si>
    <t>Discriminação dos Itens (QCI)</t>
  </si>
  <si>
    <t>UNID. DE MEDIDA</t>
  </si>
  <si>
    <t>UNIÃO</t>
  </si>
  <si>
    <t>%</t>
  </si>
  <si>
    <t>Contrapartida (R$)</t>
  </si>
  <si>
    <t>Total (R$)</t>
  </si>
  <si>
    <t>Totalização</t>
  </si>
  <si>
    <t>Percentual</t>
  </si>
  <si>
    <t>Denominação</t>
  </si>
  <si>
    <t>Município</t>
  </si>
  <si>
    <t>Despesas Financeiras (DF)</t>
  </si>
  <si>
    <t>Administração Central (AC)</t>
  </si>
  <si>
    <t>Administração Local</t>
  </si>
  <si>
    <t>CRONOGRAMA FÍSICO FINANCEIRO</t>
  </si>
  <si>
    <t>Meses</t>
  </si>
  <si>
    <t>01</t>
  </si>
  <si>
    <t>02</t>
  </si>
  <si>
    <t>03</t>
  </si>
  <si>
    <t>TOTAL DE CUSTO DIRETO</t>
  </si>
  <si>
    <t>% ACUMULADA</t>
  </si>
  <si>
    <t>Conforme Planilha Orçam..</t>
  </si>
  <si>
    <t>Data-base</t>
  </si>
  <si>
    <t xml:space="preserve">  i) Composição do BDI, intervalos admissíveis e Fórmulas de cálculo nos termos do Acórdão 325/2007 do TCU</t>
  </si>
  <si>
    <t>Empreendimento:</t>
  </si>
  <si>
    <t>Orgão ou entidade:</t>
  </si>
  <si>
    <r>
      <t>(1+AC)x(1+DF)x(1+(G+R))x(1+L))</t>
    </r>
    <r>
      <rPr>
        <sz val="12"/>
        <rFont val="Tahoma"/>
        <family val="2"/>
      </rPr>
      <t xml:space="preserve">  -1</t>
    </r>
  </si>
  <si>
    <t>Preço</t>
  </si>
  <si>
    <t>1.1</t>
  </si>
  <si>
    <t>1.2</t>
  </si>
  <si>
    <t>Cobertura</t>
  </si>
  <si>
    <t>m²</t>
  </si>
  <si>
    <t>Unid.</t>
  </si>
  <si>
    <t>m³</t>
  </si>
  <si>
    <t>m</t>
  </si>
  <si>
    <t xml:space="preserve">75381/001 </t>
  </si>
  <si>
    <t xml:space="preserve">75220 </t>
  </si>
  <si>
    <t>Cobertura com telha chapa aço zincado, ondulada, esp-0,5mm</t>
  </si>
  <si>
    <t>Cumeeira de alumínio, perfil ondulado</t>
  </si>
  <si>
    <t>73970/001</t>
  </si>
  <si>
    <t>Kg</t>
  </si>
  <si>
    <t>x</t>
  </si>
  <si>
    <t>y</t>
  </si>
  <si>
    <t>Setop</t>
  </si>
  <si>
    <t>2.1</t>
  </si>
  <si>
    <t>3.1</t>
  </si>
  <si>
    <t>3.2</t>
  </si>
  <si>
    <t>3.4</t>
  </si>
  <si>
    <t>3.5</t>
  </si>
  <si>
    <t>4.1</t>
  </si>
  <si>
    <t>Quant</t>
  </si>
  <si>
    <t>Quantidade</t>
  </si>
  <si>
    <t>Área</t>
  </si>
  <si>
    <t>Comprimento</t>
  </si>
  <si>
    <t>Largura</t>
  </si>
  <si>
    <t>Altura</t>
  </si>
  <si>
    <t>Kg/m</t>
  </si>
  <si>
    <t>Fechamento Lateral</t>
  </si>
  <si>
    <t>Quant.</t>
  </si>
  <si>
    <t>5.1</t>
  </si>
  <si>
    <t>4.2</t>
  </si>
  <si>
    <t>4.3</t>
  </si>
  <si>
    <t>4.4</t>
  </si>
  <si>
    <t>4.5</t>
  </si>
  <si>
    <t>4.6</t>
  </si>
  <si>
    <t>4.7</t>
  </si>
  <si>
    <t>5.2</t>
  </si>
  <si>
    <t>5.3</t>
  </si>
  <si>
    <t>5.4</t>
  </si>
  <si>
    <t>Escavacao manual de vala em material de 1A categoria ate 1,5m excluindo esgotamento / escoramento</t>
  </si>
  <si>
    <t xml:space="preserve">Armadura de aço CA-50, bitolas variadas  </t>
  </si>
  <si>
    <t xml:space="preserve">Armadura de aço CA-60, bitolas variadas  </t>
  </si>
  <si>
    <t>Armacao (fornecimento, corte, dobra e colocação) aço CA-50, Diam. 6,3 (1/4) à 12,5mm(1/2)</t>
  </si>
  <si>
    <t>kg</t>
  </si>
  <si>
    <t>2.2</t>
  </si>
  <si>
    <t>Armacao de aco ca-60 Diam. D3,4 a 6,0mm,- Fornecimento / Corte /(c/perda de 10%) / Dobra / Colocação.</t>
  </si>
  <si>
    <t>largura</t>
  </si>
  <si>
    <t xml:space="preserve">Area </t>
  </si>
  <si>
    <t>Chapa de aço grossa preta 1/2"(12,70mm) 99,593kg/m²</t>
  </si>
  <si>
    <t>kg/m²</t>
  </si>
  <si>
    <t>Chumbador de aço 1"x500mm c/rosca e porca</t>
  </si>
  <si>
    <t>Peso</t>
  </si>
  <si>
    <t>de acordo com tabela GERDAU</t>
  </si>
  <si>
    <t>kg/m</t>
  </si>
  <si>
    <t>Estrutura metalica em tesouras ou trelicas, vao livre de 25m, fornecimento e montagem, não sendo considerada as colunas, os fechamentos metalicos, os serviços gerais em alvenaria e concreto, as telhas de cobertura e a pintura de acabamento</t>
  </si>
  <si>
    <t>72113</t>
  </si>
  <si>
    <t>13278</t>
  </si>
  <si>
    <t>Chapa na base do pilar:</t>
  </si>
  <si>
    <t>quant</t>
  </si>
  <si>
    <t xml:space="preserve">BDI </t>
  </si>
  <si>
    <t>Pilares</t>
  </si>
  <si>
    <t>Pouso Alegre</t>
  </si>
  <si>
    <t>PREFEITURA MUNICIPAL DE POUSO ALEGRE</t>
  </si>
  <si>
    <t>CEMA</t>
  </si>
  <si>
    <t>Março/2015</t>
  </si>
  <si>
    <t>Tesoura</t>
  </si>
  <si>
    <t>Pintura a oleo brilhante sobre superfície metálica, uma demão, incluso uma demão de fundo anticorrosivo</t>
  </si>
  <si>
    <t>79498/001</t>
  </si>
  <si>
    <t>HID-TUB-400</t>
  </si>
  <si>
    <t>Tubo pvc branco rosqueável Ø 4"</t>
  </si>
  <si>
    <t>1118</t>
  </si>
  <si>
    <t>Calha chapa galvanizada num 24 l = 50cm</t>
  </si>
  <si>
    <t>Mobilização e desmobilização de equipamento</t>
  </si>
  <si>
    <t>Vb</t>
  </si>
  <si>
    <t>Estacas</t>
  </si>
  <si>
    <t>04.23.20</t>
  </si>
  <si>
    <t>Concreto usinado lançado em fundação FCK&gt;=20 Mpa</t>
  </si>
  <si>
    <t>Circunferência</t>
  </si>
  <si>
    <t>Massa nomina 5mm</t>
  </si>
  <si>
    <t>Estribos</t>
  </si>
  <si>
    <t>Vigas baldrame</t>
  </si>
  <si>
    <t>Blocos</t>
  </si>
  <si>
    <t>Vigas Baldrame Amarração blocos</t>
  </si>
  <si>
    <t>Alvenaria de blocos de concreto estrutural 14x19x39cm (espessura (14 cm), FBK = 4,5 MPA, para paredes com área liquida maior ou igual a 6m², sem vãos, utilizando palheta</t>
  </si>
  <si>
    <t xml:space="preserve">Pilares Muro </t>
  </si>
  <si>
    <t xml:space="preserve">Vigas baldrame Muro </t>
  </si>
  <si>
    <t>Chapisco aplicado tanto em pilares e vigas de concreto como em alvenaria de fachada sem presença de vãos, com colher de pedreiro. Argamassa traço 1:3 com preparo manual</t>
  </si>
  <si>
    <t>Reboco com argamassa pre-fabricada, espessura 0,5cm, preparo mecanico da argamassa</t>
  </si>
  <si>
    <t>Aplicação de fundo selador látex pva em paredes, uma demão.</t>
  </si>
  <si>
    <t>2.3</t>
  </si>
  <si>
    <t>2.4</t>
  </si>
  <si>
    <t>Sinap-MG</t>
  </si>
  <si>
    <t>04.04.01</t>
  </si>
  <si>
    <t xml:space="preserve">Mobilização e desmobilização de equipamento - Estaca broca perfurada a trado mecanizado </t>
  </si>
  <si>
    <t>04.04.03</t>
  </si>
  <si>
    <t>Estaca broca perfurada a trado mecanizado perfuração D=35cm</t>
  </si>
  <si>
    <t>89529</t>
  </si>
  <si>
    <t>Joelho 90 graus, PVC, serie r, água pluvial, dn 100 mm, junta elástica, fornecido e instalado em ramal de encaminhamento.</t>
  </si>
  <si>
    <t>Tubo de queda</t>
  </si>
  <si>
    <t>Sinapi-MG</t>
  </si>
  <si>
    <t>SUDECAP</t>
  </si>
  <si>
    <t>4.8</t>
  </si>
  <si>
    <t>GUARDA-CORPO EM TUBO DE ACO GALVANIZADO 1 1/2"</t>
  </si>
  <si>
    <t>TOTAL S/ BDI</t>
  </si>
  <si>
    <t>TOTAL C/ BDI</t>
  </si>
  <si>
    <t>2.5</t>
  </si>
  <si>
    <t>2.6</t>
  </si>
  <si>
    <t>2.7</t>
  </si>
  <si>
    <t>2.8</t>
  </si>
  <si>
    <t>2.9</t>
  </si>
  <si>
    <t>MURO DE CONTENÇÃO</t>
  </si>
  <si>
    <t>FUNDAÇÃO</t>
  </si>
  <si>
    <t>FORMA PARA ESTRUTURAS DE CONCRETO (PILAR, VIGA E LAJE) EM CHAPA DE MADEIRA COMPENSADA RESINADA, DE 1,10 X 2,20, ESPESSURA = 12 MM, 02 UTILIZACOES. (FABRICACAO, MONTAGEM E DESMONTAGEM)</t>
  </si>
  <si>
    <t>ARMACAO ACO CA-50, DIAM. 6,3 (1/4) À 12,5MM(1/2) -FORNECIMENTO/ CORTE(PERDA DE 10%) / DOBRA / COLOCAÇÃO.</t>
  </si>
  <si>
    <t>CONCRETO FCK=20MPA, VIRADO EM BETONEIRA, SEM LANCAMENTO</t>
  </si>
  <si>
    <t>74157/003</t>
  </si>
  <si>
    <t>LANCAMENTO/APLICACAO MANUAL DE CONCRETO EM ESTRUTURAS</t>
  </si>
  <si>
    <t>ALVENARIA DE VEDAÇÃO DE BLOCOS VAZADOS DE CONCRETO DE 14X19X39CM (ESPESSURA 14CM) DE PAREDES COM ÁREA LÍQUIDA MAIOR OU IGUAL A 6M² SEM VÃOS E ARGAMASSA DE ASSENTAMENTO COM PREPARO MANUAL</t>
  </si>
  <si>
    <t>CORRIMAO EM TUBO ACO GALVANIZADO 1 1/4" COM BRACADEIRA</t>
  </si>
  <si>
    <t>VIGAS</t>
  </si>
  <si>
    <t>V3</t>
  </si>
  <si>
    <t>Fundo:</t>
  </si>
  <si>
    <t>Laterais:</t>
  </si>
  <si>
    <t>Total:</t>
  </si>
  <si>
    <t>PILARES</t>
  </si>
  <si>
    <t>P1</t>
  </si>
  <si>
    <t>P2</t>
  </si>
  <si>
    <t>P3</t>
  </si>
  <si>
    <t>Total forma vigas:</t>
  </si>
  <si>
    <t>Total forma pilares:</t>
  </si>
  <si>
    <t>LAJES</t>
  </si>
  <si>
    <t>Total forma lajes:</t>
  </si>
  <si>
    <t>Total do item:</t>
  </si>
  <si>
    <t>Volume do concreto:</t>
  </si>
  <si>
    <t>Pecentual de distribuição:</t>
  </si>
  <si>
    <t>Índice:</t>
  </si>
  <si>
    <t>Comprimento:</t>
  </si>
  <si>
    <t>V2=V4 (2x)</t>
  </si>
  <si>
    <t>V1=V5 (2x)</t>
  </si>
  <si>
    <t>Largura:</t>
  </si>
  <si>
    <t>Altura:</t>
  </si>
  <si>
    <t>Volume:</t>
  </si>
  <si>
    <t>kg/m³</t>
  </si>
  <si>
    <t>Espessura:</t>
  </si>
  <si>
    <t>ALVENARIA 1</t>
  </si>
  <si>
    <t>ALVENARIA 2</t>
  </si>
  <si>
    <t>Área (triâng. ret.):</t>
  </si>
  <si>
    <t>Altura maior:</t>
  </si>
  <si>
    <t>Altura menor:</t>
  </si>
  <si>
    <t>Área (trapézio):</t>
  </si>
  <si>
    <t>ALVENARIA 3</t>
  </si>
  <si>
    <t>Área:</t>
  </si>
  <si>
    <t>ALVENARIA 4</t>
  </si>
  <si>
    <t>Extensão:</t>
  </si>
  <si>
    <t>Quantidade de rampas:</t>
  </si>
  <si>
    <t xml:space="preserve">un </t>
  </si>
  <si>
    <t>GALPÃO E COBERTURA</t>
  </si>
  <si>
    <t>RAMPAS DE ACESSO</t>
  </si>
  <si>
    <t>Placa de Obra em chapa de aço galvanizado</t>
  </si>
  <si>
    <t>Locacao convencional de obra, através de gabarito de tabuas corridas pontaletadas, sem reaproveitamento</t>
  </si>
  <si>
    <t>01.17.01</t>
  </si>
  <si>
    <t>01.03.02</t>
  </si>
  <si>
    <t>SERVIÇOS PRELIMINARES</t>
  </si>
  <si>
    <t>04.15.01</t>
  </si>
  <si>
    <t>04.15.05</t>
  </si>
  <si>
    <t>04.13.04</t>
  </si>
  <si>
    <t>m2</t>
  </si>
  <si>
    <t>FORMA PARA ESTRUTURAS DE CONCRETO , ESPESSURA = 12 MM,(FABRICACAO, MONTAGEM E DESMONTAGEM)</t>
  </si>
  <si>
    <t>03.17.01</t>
  </si>
  <si>
    <t>Regularização e compactação de fundo de vala</t>
  </si>
  <si>
    <t>03.23.01</t>
  </si>
  <si>
    <t>Reaterro manual e compactado</t>
  </si>
  <si>
    <t>03.22.01</t>
  </si>
  <si>
    <t>Estaca broca perfurada a trado mecanizado perfuração D=30cm</t>
  </si>
  <si>
    <t>04.04.02</t>
  </si>
  <si>
    <t>3.3</t>
  </si>
  <si>
    <t>3.6</t>
  </si>
  <si>
    <t>3.7</t>
  </si>
  <si>
    <t>3.8</t>
  </si>
  <si>
    <t>3.9</t>
  </si>
  <si>
    <t>3.10</t>
  </si>
  <si>
    <t>3.11</t>
  </si>
  <si>
    <t>3.12</t>
  </si>
  <si>
    <t>3.13</t>
  </si>
  <si>
    <t>3.14</t>
  </si>
  <si>
    <t>4.9</t>
  </si>
  <si>
    <t>4.10</t>
  </si>
  <si>
    <t>5.5</t>
  </si>
  <si>
    <t>5.6</t>
  </si>
  <si>
    <t>5.7</t>
  </si>
  <si>
    <t>5.8</t>
  </si>
  <si>
    <t xml:space="preserve">Estrutura metalica em aço estrutural Perfis W A-572 – Grau 50 </t>
  </si>
  <si>
    <t>120 + 120+50+50</t>
  </si>
  <si>
    <t>dimensões do galpão</t>
  </si>
  <si>
    <t>total</t>
  </si>
  <si>
    <t>m3</t>
  </si>
  <si>
    <t>Massa nominal 3/8"</t>
  </si>
  <si>
    <t>Massa nominal 1/2"</t>
  </si>
  <si>
    <t>(0,60+0,60+1,20+1,20) x 0,50 x 66</t>
  </si>
  <si>
    <t>(0,50+0,50) x 386</t>
  </si>
  <si>
    <t>(0,30+0,30) x 300</t>
  </si>
  <si>
    <t>(0,20+0,20) x 1,20 x 98</t>
  </si>
  <si>
    <t>Cinta de Respaldo Muro</t>
  </si>
  <si>
    <t>(0,20+0,20) x 300</t>
  </si>
  <si>
    <t>Viga Baldrame</t>
  </si>
  <si>
    <t>66 unid</t>
  </si>
  <si>
    <t xml:space="preserve">Viga Baldrame </t>
  </si>
  <si>
    <t>vb</t>
  </si>
  <si>
    <t>MURETA</t>
  </si>
  <si>
    <t>VIGA BALDRAME 15x30</t>
  </si>
  <si>
    <t>Vigas</t>
  </si>
  <si>
    <t>CINTA 15 X 20</t>
  </si>
  <si>
    <t>comprimento</t>
  </si>
  <si>
    <t>Massa nominal 1/4"</t>
  </si>
  <si>
    <t>PILARETE 15 X 15 X 1,20</t>
  </si>
  <si>
    <t>Cinta</t>
  </si>
  <si>
    <t>Pilar</t>
  </si>
  <si>
    <t>VIGA BALDRAME  ( 5mm c/ 20cm)</t>
  </si>
  <si>
    <t>Massa nominal 5mm</t>
  </si>
  <si>
    <t>CINTA 15 X 20   ( 5mm c/ 20cm)</t>
  </si>
  <si>
    <t>PILARETE 15 X 15 X 1,20   ( 5mm c/ 20cm)</t>
  </si>
  <si>
    <t>Viga</t>
  </si>
  <si>
    <t>altura</t>
  </si>
  <si>
    <t>( 2x)</t>
  </si>
  <si>
    <t>TOTAL</t>
  </si>
  <si>
    <t>07.05.05</t>
  </si>
  <si>
    <t>14.05.05</t>
  </si>
  <si>
    <t>14.05.31</t>
  </si>
  <si>
    <t>17.05.07</t>
  </si>
  <si>
    <t>17.02.01</t>
  </si>
  <si>
    <t>Pintura pva,duas demaos</t>
  </si>
  <si>
    <t>13.40.08</t>
  </si>
  <si>
    <t>13.40.11</t>
  </si>
</sst>
</file>

<file path=xl/styles.xml><?xml version="1.0" encoding="utf-8"?>
<styleSheet xmlns="http://schemas.openxmlformats.org/spreadsheetml/2006/main">
  <numFmts count="13">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0.00_);_([$€]* \(#,##0.00\);_([$€]* &quot;-&quot;??_);_(@_)"/>
    <numFmt numFmtId="167" formatCode="#,##0.000"/>
    <numFmt numFmtId="168" formatCode="_(* #,##0.000_);_(* \(#,##0.000\);_(* &quot;-&quot;??_);_(@_)"/>
    <numFmt numFmtId="169" formatCode="&quot;R$&quot;#,##0.00_);[Red]\(&quot;R$&quot;#,##0.00\)"/>
    <numFmt numFmtId="170" formatCode="###,###,###,##0.00"/>
    <numFmt numFmtId="171" formatCode="&quot;R$&quot;\ #,##0.00"/>
    <numFmt numFmtId="172" formatCode="0.0000%"/>
    <numFmt numFmtId="173" formatCode="00"/>
    <numFmt numFmtId="174" formatCode="00.##"/>
  </numFmts>
  <fonts count="67">
    <font>
      <sz val="10"/>
      <name val="Arial"/>
    </font>
    <font>
      <sz val="11"/>
      <color indexed="8"/>
      <name val="Calibri"/>
      <family val="2"/>
    </font>
    <font>
      <b/>
      <sz val="10"/>
      <name val="Arial"/>
      <family val="2"/>
    </font>
    <font>
      <sz val="10"/>
      <name val="Arial"/>
      <family val="2"/>
    </font>
    <font>
      <sz val="10"/>
      <name val="Times New Roman"/>
      <family val="1"/>
    </font>
    <font>
      <sz val="8"/>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b/>
      <sz val="12"/>
      <name val="Arial"/>
      <family val="2"/>
    </font>
    <font>
      <b/>
      <sz val="14"/>
      <name val="Arial"/>
      <family val="2"/>
    </font>
    <font>
      <b/>
      <shadow/>
      <sz val="12"/>
      <name val="Arial"/>
      <family val="2"/>
    </font>
    <font>
      <shadow/>
      <sz val="12"/>
      <color indexed="12"/>
      <name val="Arial"/>
      <family val="2"/>
    </font>
    <font>
      <shadow/>
      <sz val="12"/>
      <name val="Arial"/>
      <family val="2"/>
    </font>
    <font>
      <shadow/>
      <sz val="8"/>
      <name val="Arial"/>
      <family val="2"/>
    </font>
    <font>
      <sz val="10"/>
      <color indexed="12"/>
      <name val="Arial"/>
      <family val="2"/>
    </font>
    <font>
      <b/>
      <sz val="10"/>
      <color indexed="12"/>
      <name val="Arial"/>
      <family val="2"/>
    </font>
    <font>
      <b/>
      <sz val="10"/>
      <color indexed="10"/>
      <name val="Arial"/>
      <family val="2"/>
    </font>
    <font>
      <b/>
      <sz val="10"/>
      <color indexed="17"/>
      <name val="Arial"/>
      <family val="2"/>
    </font>
    <font>
      <b/>
      <sz val="10"/>
      <color indexed="14"/>
      <name val="Arial"/>
      <family val="2"/>
    </font>
    <font>
      <sz val="10"/>
      <name val="Arial"/>
      <family val="2"/>
    </font>
    <font>
      <sz val="11"/>
      <name val="Arial"/>
      <family val="2"/>
    </font>
    <font>
      <sz val="11"/>
      <name val="Garamond"/>
      <family val="1"/>
    </font>
    <font>
      <sz val="10"/>
      <name val="Arial"/>
      <family val="2"/>
    </font>
    <font>
      <sz val="10"/>
      <name val="Arial"/>
      <family val="2"/>
    </font>
    <font>
      <b/>
      <sz val="9"/>
      <name val="Arial"/>
      <family val="2"/>
    </font>
    <font>
      <b/>
      <sz val="10"/>
      <name val="Cataneo BT"/>
      <family val="4"/>
    </font>
    <font>
      <b/>
      <sz val="8"/>
      <name val="Arial"/>
      <family val="2"/>
    </font>
    <font>
      <b/>
      <sz val="10"/>
      <name val="Courier New"/>
      <family val="3"/>
    </font>
    <font>
      <sz val="10"/>
      <name val="Tahoma"/>
      <family val="2"/>
    </font>
    <font>
      <sz val="11"/>
      <name val="Tahoma"/>
      <family val="2"/>
    </font>
    <font>
      <sz val="12"/>
      <name val="Tahoma"/>
      <family val="2"/>
    </font>
    <font>
      <b/>
      <sz val="12"/>
      <name val="Tahoma"/>
      <family val="2"/>
    </font>
    <font>
      <u/>
      <sz val="12"/>
      <name val="Tahoma"/>
      <family val="2"/>
    </font>
    <font>
      <b/>
      <sz val="11"/>
      <name val="Tahoma"/>
      <family val="2"/>
    </font>
    <font>
      <sz val="12"/>
      <color indexed="8"/>
      <name val="Tahoma"/>
      <family val="2"/>
    </font>
    <font>
      <sz val="11"/>
      <color theme="1"/>
      <name val="Calibri"/>
      <family val="2"/>
      <scheme val="minor"/>
    </font>
    <font>
      <sz val="10"/>
      <color rgb="FFFF0000"/>
      <name val="Arial"/>
      <family val="2"/>
    </font>
    <font>
      <sz val="10"/>
      <color theme="4" tint="-0.249977111117893"/>
      <name val="Arial"/>
      <family val="2"/>
    </font>
    <font>
      <b/>
      <sz val="10"/>
      <color rgb="FFFF0000"/>
      <name val="Arial"/>
      <family val="2"/>
    </font>
    <font>
      <sz val="12"/>
      <color rgb="FFFF0000"/>
      <name val="Arial"/>
      <family val="2"/>
    </font>
    <font>
      <sz val="12"/>
      <color rgb="FFFF0000"/>
      <name val="Tahoma"/>
      <family val="2"/>
    </font>
    <font>
      <b/>
      <sz val="12"/>
      <color rgb="FFFF0000"/>
      <name val="Tahoma"/>
      <family val="2"/>
    </font>
    <font>
      <sz val="10"/>
      <color rgb="FFFF0000"/>
      <name val="Tahoma"/>
      <family val="2"/>
    </font>
    <font>
      <sz val="11"/>
      <color rgb="FFFF0000"/>
      <name val="Tahoma"/>
      <family val="2"/>
    </font>
    <font>
      <sz val="12"/>
      <color theme="1"/>
      <name val="Tahoma"/>
      <family val="2"/>
    </font>
    <font>
      <b/>
      <sz val="12"/>
      <color theme="0" tint="-0.499984740745262"/>
      <name val="Tahoma"/>
      <family val="2"/>
    </font>
    <font>
      <sz val="12"/>
      <color theme="0" tint="-0.499984740745262"/>
      <name val="Tahoma"/>
      <family val="2"/>
    </font>
    <font>
      <sz val="10"/>
      <color theme="0" tint="-0.499984740745262"/>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s>
  <borders count="61">
    <border>
      <left/>
      <right/>
      <top/>
      <bottom/>
      <diagonal/>
    </border>
    <border>
      <left style="thin">
        <color indexed="64"/>
      </left>
      <right style="thin">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68">
    <xf numFmtId="4" fontId="0" fillId="0" borderId="1">
      <alignment vertical="justify"/>
    </xf>
    <xf numFmtId="0" fontId="7" fillId="2" borderId="0" applyNumberFormat="0" applyBorder="0" applyAlignment="0" applyProtection="0"/>
    <xf numFmtId="0" fontId="1" fillId="2"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4" fillId="3" borderId="0" applyNumberFormat="0" applyBorder="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1" fillId="21" borderId="3" applyNumberFormat="0" applyAlignment="0" applyProtection="0"/>
    <xf numFmtId="0" fontId="43" fillId="0" borderId="5">
      <alignment horizontal="center" vertical="center"/>
    </xf>
    <xf numFmtId="0" fontId="44" fillId="0" borderId="0">
      <alignment horizontal="left" vertical="center"/>
    </xf>
    <xf numFmtId="0" fontId="13" fillId="7" borderId="2" applyNumberFormat="0" applyAlignment="0" applyProtection="0"/>
    <xf numFmtId="0" fontId="13" fillId="7" borderId="2" applyNumberFormat="0" applyAlignment="0" applyProtection="0"/>
    <xf numFmtId="0" fontId="13" fillId="7" borderId="2" applyNumberFormat="0" applyAlignment="0" applyProtection="0"/>
    <xf numFmtId="166" fontId="4" fillId="0" borderId="0" applyFont="0" applyFill="0" applyBorder="0" applyAlignment="0" applyProtection="0"/>
    <xf numFmtId="166" fontId="3" fillId="0" borderId="0" applyFont="0" applyFill="0" applyBorder="0" applyAlignment="0" applyProtection="0"/>
    <xf numFmtId="0" fontId="18" fillId="0" borderId="0" applyNumberFormat="0" applyFill="0" applyBorder="0" applyAlignment="0" applyProtection="0"/>
    <xf numFmtId="0" fontId="9" fillId="4" borderId="0" applyNumberFormat="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13" fillId="7" borderId="2" applyNumberFormat="0" applyAlignment="0" applyProtection="0"/>
    <xf numFmtId="0" fontId="12" fillId="0" borderId="4" applyNumberFormat="0" applyFill="0" applyAlignment="0" applyProtection="0"/>
    <xf numFmtId="165" fontId="4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0" fontId="15" fillId="22" borderId="0" applyNumberFormat="0" applyBorder="0" applyAlignment="0" applyProtection="0"/>
    <xf numFmtId="4" fontId="3" fillId="0" borderId="1">
      <alignment vertical="justify"/>
    </xf>
    <xf numFmtId="4" fontId="3" fillId="0" borderId="1">
      <alignment vertical="justify"/>
    </xf>
    <xf numFmtId="0" fontId="54" fillId="0" borderId="0"/>
    <xf numFmtId="0" fontId="54" fillId="0" borderId="0"/>
    <xf numFmtId="0" fontId="54" fillId="0" borderId="0"/>
    <xf numFmtId="0" fontId="54" fillId="0" borderId="0"/>
    <xf numFmtId="0" fontId="54" fillId="0" borderId="0"/>
    <xf numFmtId="0" fontId="54" fillId="0" borderId="0"/>
    <xf numFmtId="0" fontId="1" fillId="0" borderId="0"/>
    <xf numFmtId="0" fontId="38" fillId="0" borderId="0"/>
    <xf numFmtId="0" fontId="3" fillId="0" borderId="0"/>
    <xf numFmtId="0" fontId="3" fillId="0" borderId="0"/>
    <xf numFmtId="0" fontId="3" fillId="0" borderId="0"/>
    <xf numFmtId="0" fontId="3" fillId="0" borderId="0"/>
    <xf numFmtId="0" fontId="54" fillId="0" borderId="0"/>
    <xf numFmtId="0" fontId="3" fillId="0" borderId="0"/>
    <xf numFmtId="0" fontId="54"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54" fillId="0" borderId="0"/>
    <xf numFmtId="0" fontId="4" fillId="0" borderId="0"/>
    <xf numFmtId="0" fontId="54" fillId="0" borderId="0"/>
    <xf numFmtId="0" fontId="54" fillId="0" borderId="0"/>
    <xf numFmtId="0" fontId="54" fillId="0" borderId="0"/>
    <xf numFmtId="0" fontId="54" fillId="0" borderId="0"/>
    <xf numFmtId="4" fontId="3" fillId="0" borderId="1">
      <alignment vertical="justify"/>
    </xf>
    <xf numFmtId="4" fontId="3" fillId="0" borderId="1">
      <alignment vertical="justify"/>
    </xf>
    <xf numFmtId="4" fontId="3" fillId="0" borderId="1">
      <alignment vertical="justify"/>
    </xf>
    <xf numFmtId="4" fontId="3" fillId="0" borderId="1">
      <alignment vertical="justify"/>
    </xf>
    <xf numFmtId="0" fontId="3" fillId="0" borderId="0"/>
    <xf numFmtId="4" fontId="3" fillId="0" borderId="1">
      <alignment vertical="justify"/>
    </xf>
    <xf numFmtId="0" fontId="41" fillId="0" borderId="0"/>
    <xf numFmtId="0" fontId="3" fillId="0" borderId="0"/>
    <xf numFmtId="0" fontId="41" fillId="0" borderId="0"/>
    <xf numFmtId="0" fontId="3" fillId="0" borderId="0"/>
    <xf numFmtId="0" fontId="3" fillId="0" borderId="0"/>
    <xf numFmtId="0" fontId="3" fillId="0" borderId="0"/>
    <xf numFmtId="0" fontId="3" fillId="23" borderId="9" applyNumberFormat="0" applyFont="0" applyAlignment="0" applyProtection="0"/>
    <xf numFmtId="0" fontId="3" fillId="23" borderId="9" applyNumberFormat="0" applyFont="0" applyAlignment="0" applyProtection="0"/>
    <xf numFmtId="0" fontId="3" fillId="23" borderId="9" applyNumberFormat="0" applyFont="0" applyAlignment="0" applyProtection="0"/>
    <xf numFmtId="0" fontId="7" fillId="23" borderId="9" applyNumberFormat="0" applyFont="0" applyAlignment="0" applyProtection="0"/>
    <xf numFmtId="0" fontId="1" fillId="23" borderId="9" applyNumberFormat="0" applyFont="0" applyAlignment="0" applyProtection="0"/>
    <xf numFmtId="173" fontId="45" fillId="0" borderId="10">
      <alignment horizontal="center" vertical="center"/>
    </xf>
    <xf numFmtId="0" fontId="16"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16" fillId="20" borderId="11" applyNumberFormat="0" applyAlignment="0" applyProtection="0"/>
    <xf numFmtId="0" fontId="16" fillId="20" borderId="11" applyNumberFormat="0" applyAlignment="0" applyProtection="0"/>
    <xf numFmtId="0" fontId="16" fillId="20" borderId="11" applyNumberFormat="0" applyAlignment="0" applyProtection="0"/>
    <xf numFmtId="164" fontId="3" fillId="0" borderId="0" applyFont="0" applyFill="0" applyBorder="0" applyAlignment="0" applyProtection="0"/>
    <xf numFmtId="164" fontId="7" fillId="0" borderId="0" applyFont="0" applyFill="0" applyBorder="0" applyAlignment="0" applyProtection="0"/>
    <xf numFmtId="164" fontId="40" fillId="0" borderId="0" applyFont="0" applyFill="0" applyBorder="0" applyAlignment="0" applyProtection="0"/>
    <xf numFmtId="0" fontId="3" fillId="0" borderId="0" applyFont="0" applyFill="0" applyBorder="0" applyAlignment="0" applyProtection="0"/>
    <xf numFmtId="164" fontId="40"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9" fontId="3" fillId="0" borderId="0" applyFont="0" applyFill="0" applyProtection="0"/>
    <xf numFmtId="164" fontId="3" fillId="0" borderId="0" applyFont="0" applyFill="0" applyBorder="0" applyAlignment="0">
      <protection hidden="1"/>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74" fontId="46" fillId="0" borderId="0">
      <alignment horizontal="left" vertical="top"/>
    </xf>
    <xf numFmtId="0" fontId="23" fillId="0" borderId="12" applyNumberFormat="0" applyFill="0" applyAlignment="0" applyProtection="0"/>
    <xf numFmtId="0" fontId="23" fillId="0" borderId="12" applyNumberFormat="0" applyFill="0" applyAlignment="0" applyProtection="0"/>
    <xf numFmtId="0" fontId="23" fillId="0" borderId="12" applyNumberFormat="0" applyFill="0" applyAlignment="0" applyProtection="0"/>
    <xf numFmtId="164" fontId="1" fillId="0" borderId="0" applyFont="0" applyFill="0" applyBorder="0" applyAlignment="0" applyProtection="0"/>
    <xf numFmtId="0" fontId="17" fillId="0" borderId="0" applyNumberFormat="0" applyFill="0" applyBorder="0" applyAlignment="0" applyProtection="0"/>
  </cellStyleXfs>
  <cellXfs count="644">
    <xf numFmtId="4" fontId="0" fillId="0" borderId="1" xfId="0">
      <alignment vertical="justify"/>
    </xf>
    <xf numFmtId="0" fontId="6" fillId="0" borderId="0" xfId="104" applyFont="1" applyBorder="1" applyAlignment="1">
      <alignment horizontal="center" vertical="center" wrapText="1"/>
    </xf>
    <xf numFmtId="0" fontId="6" fillId="0" borderId="0" xfId="104" applyFont="1" applyBorder="1" applyAlignment="1">
      <alignment vertical="center" wrapText="1"/>
    </xf>
    <xf numFmtId="0" fontId="6" fillId="0" borderId="0" xfId="104" applyFont="1" applyBorder="1" applyAlignment="1">
      <alignment vertical="center"/>
    </xf>
    <xf numFmtId="0" fontId="3" fillId="0" borderId="0" xfId="104" applyAlignment="1">
      <alignment vertical="center"/>
    </xf>
    <xf numFmtId="0" fontId="28" fillId="0" borderId="0" xfId="104" applyFont="1" applyFill="1" applyBorder="1" applyAlignment="1">
      <alignment vertical="center"/>
    </xf>
    <xf numFmtId="0" fontId="27" fillId="0" borderId="0" xfId="104" applyFont="1" applyFill="1" applyBorder="1" applyAlignment="1">
      <alignment vertical="center"/>
    </xf>
    <xf numFmtId="4" fontId="27" fillId="0" borderId="0" xfId="151" applyNumberFormat="1" applyFont="1" applyFill="1" applyBorder="1" applyAlignment="1" applyProtection="1">
      <alignment horizontal="center" vertical="center" wrapText="1"/>
      <protection locked="0"/>
    </xf>
    <xf numFmtId="0" fontId="29" fillId="0" borderId="0" xfId="104" applyFont="1" applyBorder="1" applyAlignment="1">
      <alignment vertical="center"/>
    </xf>
    <xf numFmtId="0" fontId="29" fillId="0" borderId="0" xfId="104" applyFont="1" applyBorder="1" applyAlignment="1">
      <alignment horizontal="center" vertical="center" wrapText="1"/>
    </xf>
    <xf numFmtId="0" fontId="29" fillId="0" borderId="0" xfId="104" applyFont="1" applyBorder="1" applyAlignment="1">
      <alignment vertical="center" wrapText="1"/>
    </xf>
    <xf numFmtId="49" fontId="27" fillId="0" borderId="13" xfId="151" applyNumberFormat="1" applyFont="1" applyFill="1" applyBorder="1" applyAlignment="1" applyProtection="1">
      <alignment horizontal="center" vertical="center" wrapText="1"/>
      <protection locked="0"/>
    </xf>
    <xf numFmtId="170" fontId="29" fillId="0" borderId="13" xfId="104" applyNumberFormat="1" applyFont="1" applyBorder="1" applyAlignment="1">
      <alignment horizontal="center" vertical="center" wrapText="1"/>
    </xf>
    <xf numFmtId="170" fontId="31" fillId="0" borderId="13" xfId="104" applyNumberFormat="1" applyFont="1" applyFill="1" applyBorder="1" applyAlignment="1">
      <alignment vertical="center"/>
    </xf>
    <xf numFmtId="170" fontId="32" fillId="0" borderId="0" xfId="104" applyNumberFormat="1" applyFont="1" applyAlignment="1">
      <alignment vertical="center"/>
    </xf>
    <xf numFmtId="0" fontId="32" fillId="0" borderId="0" xfId="104" applyFont="1" applyAlignment="1">
      <alignment vertical="center"/>
    </xf>
    <xf numFmtId="44" fontId="29" fillId="24" borderId="13" xfId="113" applyNumberFormat="1" applyFont="1" applyFill="1" applyBorder="1" applyAlignment="1">
      <alignment vertical="center"/>
    </xf>
    <xf numFmtId="0" fontId="3" fillId="0" borderId="0" xfId="104" applyFill="1" applyAlignment="1">
      <alignment vertical="center"/>
    </xf>
    <xf numFmtId="0" fontId="32" fillId="0" borderId="0" xfId="104" applyFont="1" applyFill="1" applyAlignment="1">
      <alignment vertical="center"/>
    </xf>
    <xf numFmtId="170" fontId="29" fillId="0" borderId="0" xfId="104" applyNumberFormat="1" applyFont="1" applyFill="1" applyBorder="1" applyAlignment="1">
      <alignment vertical="center"/>
    </xf>
    <xf numFmtId="0" fontId="3" fillId="0" borderId="0" xfId="104" applyFont="1" applyAlignment="1">
      <alignment vertical="center"/>
    </xf>
    <xf numFmtId="0" fontId="3" fillId="0" borderId="0" xfId="104" applyNumberFormat="1" applyAlignment="1">
      <alignment horizontal="center" vertical="center" wrapText="1"/>
    </xf>
    <xf numFmtId="0" fontId="3" fillId="0" borderId="0" xfId="104" applyAlignment="1">
      <alignment vertical="center" wrapText="1"/>
    </xf>
    <xf numFmtId="0" fontId="3" fillId="0" borderId="0" xfId="104" applyAlignment="1">
      <alignment horizontal="center" vertical="center" wrapText="1"/>
    </xf>
    <xf numFmtId="1" fontId="3" fillId="24" borderId="0" xfId="104" applyNumberFormat="1" applyFont="1" applyFill="1" applyBorder="1" applyAlignment="1">
      <alignment vertical="center"/>
    </xf>
    <xf numFmtId="4" fontId="2" fillId="24" borderId="0" xfId="150" applyNumberFormat="1" applyFont="1" applyFill="1" applyBorder="1" applyAlignment="1">
      <alignment horizontal="left" vertical="center" wrapText="1"/>
    </xf>
    <xf numFmtId="1" fontId="33" fillId="24" borderId="0" xfId="104" applyNumberFormat="1" applyFont="1" applyFill="1" applyBorder="1" applyAlignment="1">
      <alignment vertical="center"/>
    </xf>
    <xf numFmtId="4" fontId="34" fillId="24" borderId="0" xfId="104" applyNumberFormat="1" applyFont="1" applyFill="1" applyBorder="1" applyAlignment="1">
      <alignment horizontal="left" vertical="center" wrapText="1"/>
    </xf>
    <xf numFmtId="4" fontId="3" fillId="24" borderId="0" xfId="104" applyNumberFormat="1" applyFont="1" applyFill="1" applyBorder="1" applyAlignment="1">
      <alignment horizontal="left" vertical="center" wrapText="1"/>
    </xf>
    <xf numFmtId="4" fontId="35" fillId="24" borderId="0" xfId="104" applyNumberFormat="1" applyFont="1" applyFill="1" applyBorder="1" applyAlignment="1">
      <alignment vertical="center" wrapText="1"/>
    </xf>
    <xf numFmtId="4" fontId="3" fillId="24" borderId="0" xfId="104" applyNumberFormat="1" applyFont="1" applyFill="1" applyBorder="1" applyAlignment="1">
      <alignment vertical="center" wrapText="1"/>
    </xf>
    <xf numFmtId="4" fontId="36" fillId="24" borderId="0" xfId="104" applyNumberFormat="1" applyFont="1" applyFill="1" applyBorder="1" applyAlignment="1">
      <alignment vertical="center" wrapText="1"/>
    </xf>
    <xf numFmtId="0" fontId="3" fillId="24" borderId="0" xfId="104" applyFont="1" applyFill="1" applyBorder="1" applyAlignment="1">
      <alignment horizontal="center" vertical="center" wrapText="1"/>
    </xf>
    <xf numFmtId="4" fontId="37" fillId="24" borderId="0" xfId="104" applyNumberFormat="1" applyFont="1" applyFill="1" applyBorder="1" applyAlignment="1">
      <alignment vertical="center" wrapText="1"/>
    </xf>
    <xf numFmtId="0" fontId="3" fillId="24" borderId="0" xfId="104" applyNumberFormat="1" applyFont="1" applyFill="1" applyBorder="1" applyAlignment="1">
      <alignment horizontal="center" vertical="center" wrapText="1"/>
    </xf>
    <xf numFmtId="0" fontId="3" fillId="24" borderId="0" xfId="104" applyFont="1" applyFill="1" applyBorder="1" applyAlignment="1">
      <alignment vertical="center" wrapText="1"/>
    </xf>
    <xf numFmtId="0" fontId="3" fillId="24" borderId="0" xfId="104" applyFont="1" applyFill="1" applyBorder="1" applyAlignment="1">
      <alignment vertical="center"/>
    </xf>
    <xf numFmtId="0" fontId="3" fillId="24" borderId="0" xfId="104" applyFill="1" applyBorder="1" applyAlignment="1">
      <alignment vertical="center"/>
    </xf>
    <xf numFmtId="10" fontId="6" fillId="24" borderId="13" xfId="104" applyNumberFormat="1" applyFont="1" applyFill="1" applyBorder="1" applyAlignment="1">
      <alignment vertical="center"/>
    </xf>
    <xf numFmtId="170" fontId="31" fillId="0" borderId="14" xfId="104" applyNumberFormat="1" applyFont="1" applyFill="1" applyBorder="1" applyAlignment="1">
      <alignment vertical="center"/>
    </xf>
    <xf numFmtId="0" fontId="6" fillId="0" borderId="14" xfId="104" applyFont="1" applyBorder="1" applyAlignment="1">
      <alignment vertical="center"/>
    </xf>
    <xf numFmtId="0" fontId="30" fillId="0" borderId="15" xfId="104" applyNumberFormat="1" applyFont="1" applyBorder="1" applyAlignment="1">
      <alignment horizontal="center" vertical="center" wrapText="1"/>
    </xf>
    <xf numFmtId="0" fontId="3" fillId="0" borderId="16" xfId="104" applyBorder="1" applyAlignment="1">
      <alignment vertical="center"/>
    </xf>
    <xf numFmtId="0" fontId="29" fillId="24" borderId="15" xfId="104" applyNumberFormat="1" applyFont="1" applyFill="1" applyBorder="1" applyAlignment="1">
      <alignment horizontal="center" vertical="center" wrapText="1"/>
    </xf>
    <xf numFmtId="10" fontId="29" fillId="24" borderId="17" xfId="104" applyNumberFormat="1" applyFont="1" applyFill="1" applyBorder="1" applyAlignment="1">
      <alignment vertical="center"/>
    </xf>
    <xf numFmtId="10" fontId="6" fillId="24" borderId="18" xfId="104" applyNumberFormat="1" applyFont="1" applyFill="1" applyBorder="1" applyAlignment="1">
      <alignment vertical="center"/>
    </xf>
    <xf numFmtId="10" fontId="6" fillId="0" borderId="18" xfId="104" applyNumberFormat="1" applyFont="1" applyBorder="1" applyAlignment="1">
      <alignment vertical="center"/>
    </xf>
    <xf numFmtId="0" fontId="6" fillId="0" borderId="19" xfId="104" applyFont="1" applyBorder="1" applyAlignment="1">
      <alignment vertical="center"/>
    </xf>
    <xf numFmtId="0" fontId="3" fillId="0" borderId="20" xfId="104" applyFont="1" applyBorder="1" applyAlignment="1">
      <alignment vertical="center"/>
    </xf>
    <xf numFmtId="0" fontId="29" fillId="25" borderId="15" xfId="104" applyNumberFormat="1" applyFont="1" applyFill="1" applyBorder="1" applyAlignment="1">
      <alignment horizontal="center" vertical="center" wrapText="1"/>
    </xf>
    <xf numFmtId="170" fontId="29" fillId="25" borderId="13" xfId="104" applyNumberFormat="1" applyFont="1" applyFill="1" applyBorder="1" applyAlignment="1">
      <alignment vertical="center" wrapText="1"/>
    </xf>
    <xf numFmtId="10" fontId="29" fillId="25" borderId="13" xfId="113" applyNumberFormat="1" applyFont="1" applyFill="1" applyBorder="1" applyAlignment="1">
      <alignment vertical="center"/>
    </xf>
    <xf numFmtId="0" fontId="3" fillId="25" borderId="0" xfId="104" applyFill="1" applyAlignment="1">
      <alignment vertical="center"/>
    </xf>
    <xf numFmtId="0" fontId="32" fillId="25" borderId="0" xfId="104" applyFont="1" applyFill="1" applyAlignment="1">
      <alignment vertical="center"/>
    </xf>
    <xf numFmtId="0" fontId="3" fillId="26" borderId="0" xfId="104" applyFill="1" applyAlignment="1">
      <alignment vertical="center"/>
    </xf>
    <xf numFmtId="0" fontId="3" fillId="24" borderId="0" xfId="124" applyNumberFormat="1" applyFont="1" applyFill="1"/>
    <xf numFmtId="0" fontId="3" fillId="0" borderId="0" xfId="105" applyNumberFormat="1"/>
    <xf numFmtId="0" fontId="24" fillId="0" borderId="0" xfId="105" applyNumberFormat="1" applyFont="1" applyFill="1" applyBorder="1" applyAlignment="1">
      <alignment vertical="top"/>
    </xf>
    <xf numFmtId="0" fontId="25" fillId="24" borderId="0" xfId="124" applyNumberFormat="1" applyFont="1" applyFill="1" applyBorder="1" applyAlignment="1">
      <alignment horizontal="center"/>
    </xf>
    <xf numFmtId="0" fontId="25" fillId="24" borderId="0" xfId="105" applyNumberFormat="1" applyFont="1" applyFill="1" applyBorder="1" applyAlignment="1"/>
    <xf numFmtId="0" fontId="25" fillId="24" borderId="0" xfId="105" applyNumberFormat="1" applyFont="1" applyFill="1" applyBorder="1" applyAlignment="1">
      <alignment horizontal="right"/>
    </xf>
    <xf numFmtId="0" fontId="25" fillId="24" borderId="13" xfId="105" applyNumberFormat="1" applyFont="1" applyFill="1" applyBorder="1" applyAlignment="1" applyProtection="1">
      <alignment horizontal="center" vertical="center" wrapText="1"/>
    </xf>
    <xf numFmtId="0" fontId="25" fillId="24" borderId="13" xfId="105" applyNumberFormat="1" applyFont="1" applyFill="1" applyBorder="1" applyAlignment="1" applyProtection="1">
      <alignment horizontal="left" vertical="center" wrapText="1"/>
    </xf>
    <xf numFmtId="0" fontId="26" fillId="0" borderId="0" xfId="105" applyNumberFormat="1" applyFont="1"/>
    <xf numFmtId="0" fontId="3" fillId="0" borderId="0" xfId="124" applyNumberFormat="1" applyFont="1"/>
    <xf numFmtId="170" fontId="29" fillId="24" borderId="21" xfId="104" applyNumberFormat="1" applyFont="1" applyFill="1" applyBorder="1" applyAlignment="1">
      <alignment horizontal="center" vertical="center"/>
    </xf>
    <xf numFmtId="0" fontId="25" fillId="24" borderId="0" xfId="105" applyFont="1" applyFill="1" applyBorder="1" applyAlignment="1">
      <alignment vertical="center"/>
    </xf>
    <xf numFmtId="43" fontId="3" fillId="0" borderId="0" xfId="105" applyNumberFormat="1"/>
    <xf numFmtId="171" fontId="29" fillId="0" borderId="13" xfId="104" applyNumberFormat="1" applyFont="1" applyFill="1" applyBorder="1" applyAlignment="1">
      <alignment vertical="center"/>
    </xf>
    <xf numFmtId="10" fontId="29" fillId="24" borderId="17" xfId="104" applyNumberFormat="1" applyFont="1" applyFill="1" applyBorder="1" applyAlignment="1">
      <alignment horizontal="center" vertical="center"/>
    </xf>
    <xf numFmtId="170" fontId="29" fillId="24" borderId="13" xfId="104" applyNumberFormat="1" applyFont="1" applyFill="1" applyBorder="1" applyAlignment="1">
      <alignment horizontal="center" vertical="center" wrapText="1"/>
    </xf>
    <xf numFmtId="170" fontId="29" fillId="0" borderId="14" xfId="104" applyNumberFormat="1" applyFont="1" applyFill="1" applyBorder="1" applyAlignment="1">
      <alignment horizontal="center" vertical="center"/>
    </xf>
    <xf numFmtId="0" fontId="25" fillId="24" borderId="13" xfId="105" applyNumberFormat="1" applyFont="1" applyFill="1" applyBorder="1" applyAlignment="1" applyProtection="1">
      <alignment horizontal="center" vertical="center"/>
      <protection locked="0"/>
    </xf>
    <xf numFmtId="164" fontId="6" fillId="24" borderId="13" xfId="124" applyFont="1" applyFill="1" applyBorder="1" applyAlignment="1" applyProtection="1">
      <alignment horizontal="left" vertical="center"/>
      <protection locked="0"/>
    </xf>
    <xf numFmtId="0" fontId="55" fillId="24" borderId="0" xfId="105" applyNumberFormat="1" applyFont="1" applyFill="1"/>
    <xf numFmtId="10" fontId="55" fillId="0" borderId="0" xfId="105" applyNumberFormat="1" applyFont="1"/>
    <xf numFmtId="0" fontId="55" fillId="0" borderId="0" xfId="105" applyNumberFormat="1" applyFont="1"/>
    <xf numFmtId="0" fontId="25" fillId="0" borderId="0" xfId="105" applyNumberFormat="1" applyFont="1"/>
    <xf numFmtId="0" fontId="24" fillId="0" borderId="0" xfId="105" applyNumberFormat="1" applyFont="1" applyFill="1" applyBorder="1" applyAlignment="1">
      <alignment horizontal="center" vertical="top"/>
    </xf>
    <xf numFmtId="164" fontId="3" fillId="0" borderId="0" xfId="105" applyNumberFormat="1"/>
    <xf numFmtId="43" fontId="3" fillId="0" borderId="0" xfId="124" applyNumberFormat="1" applyFont="1"/>
    <xf numFmtId="0" fontId="3" fillId="0" borderId="0" xfId="105" applyNumberFormat="1" applyBorder="1"/>
    <xf numFmtId="0" fontId="3" fillId="0" borderId="0" xfId="105" applyNumberFormat="1" applyBorder="1" applyAlignment="1">
      <alignment horizontal="center"/>
    </xf>
    <xf numFmtId="0" fontId="26" fillId="0" borderId="0" xfId="105" applyNumberFormat="1" applyFont="1" applyBorder="1"/>
    <xf numFmtId="0" fontId="26" fillId="0" borderId="0" xfId="105" applyNumberFormat="1" applyFont="1" applyBorder="1" applyAlignment="1">
      <alignment horizontal="center"/>
    </xf>
    <xf numFmtId="172" fontId="3" fillId="0" borderId="0" xfId="105" applyNumberFormat="1" applyBorder="1"/>
    <xf numFmtId="0" fontId="55" fillId="0" borderId="0" xfId="105" applyNumberFormat="1" applyFont="1" applyBorder="1" applyAlignment="1">
      <alignment horizontal="center"/>
    </xf>
    <xf numFmtId="0" fontId="55" fillId="0" borderId="0" xfId="105" applyNumberFormat="1" applyFont="1" applyBorder="1"/>
    <xf numFmtId="172" fontId="56" fillId="0" borderId="0" xfId="105" applyNumberFormat="1" applyFont="1" applyBorder="1"/>
    <xf numFmtId="0" fontId="57" fillId="0" borderId="0" xfId="105" applyNumberFormat="1" applyFont="1" applyBorder="1" applyAlignment="1">
      <alignment horizontal="center"/>
    </xf>
    <xf numFmtId="43" fontId="3" fillId="0" borderId="0" xfId="105" applyNumberFormat="1" applyBorder="1"/>
    <xf numFmtId="4" fontId="3" fillId="0" borderId="0" xfId="105" applyNumberFormat="1" applyBorder="1"/>
    <xf numFmtId="4" fontId="58" fillId="24" borderId="0" xfId="105" applyNumberFormat="1" applyFont="1" applyFill="1" applyBorder="1" applyAlignment="1" applyProtection="1">
      <alignment horizontal="right" vertical="top"/>
      <protection locked="0"/>
    </xf>
    <xf numFmtId="0" fontId="56" fillId="0" borderId="0" xfId="105" applyNumberFormat="1" applyFont="1" applyBorder="1" applyAlignment="1">
      <alignment horizontal="center"/>
    </xf>
    <xf numFmtId="4" fontId="47" fillId="0" borderId="0" xfId="0" applyFont="1" applyFill="1" applyBorder="1" applyAlignment="1">
      <alignment vertical="center" readingOrder="1"/>
    </xf>
    <xf numFmtId="4" fontId="47" fillId="0" borderId="0" xfId="0" applyFont="1" applyFill="1" applyBorder="1" applyAlignment="1">
      <alignment vertical="center" wrapText="1" readingOrder="1"/>
    </xf>
    <xf numFmtId="164" fontId="47" fillId="0" borderId="0" xfId="124" applyFont="1" applyFill="1" applyBorder="1" applyAlignment="1">
      <alignment horizontal="center" vertical="center" readingOrder="1"/>
    </xf>
    <xf numFmtId="4" fontId="47" fillId="0" borderId="0" xfId="0" applyNumberFormat="1" applyFont="1" applyFill="1" applyBorder="1" applyAlignment="1">
      <alignment vertical="center" readingOrder="1"/>
    </xf>
    <xf numFmtId="4" fontId="48" fillId="0" borderId="0" xfId="0" applyFont="1" applyFill="1" applyBorder="1" applyAlignment="1">
      <alignment horizontal="center" vertical="center" readingOrder="1"/>
    </xf>
    <xf numFmtId="4" fontId="49" fillId="0" borderId="0" xfId="0" applyFont="1" applyFill="1" applyBorder="1" applyAlignment="1">
      <alignment vertical="center" readingOrder="1"/>
    </xf>
    <xf numFmtId="49" fontId="50" fillId="27" borderId="22" xfId="0" applyNumberFormat="1" applyFont="1" applyFill="1" applyBorder="1" applyAlignment="1">
      <alignment horizontal="center" vertical="center" wrapText="1" readingOrder="1"/>
    </xf>
    <xf numFmtId="49" fontId="49" fillId="27" borderId="22" xfId="0" applyNumberFormat="1" applyFont="1" applyFill="1" applyBorder="1" applyAlignment="1">
      <alignment horizontal="center" vertical="center" wrapText="1" readingOrder="1"/>
    </xf>
    <xf numFmtId="164" fontId="49" fillId="27" borderId="22" xfId="124" applyFont="1" applyFill="1" applyBorder="1" applyAlignment="1">
      <alignment horizontal="center" vertical="center" wrapText="1" readingOrder="1"/>
    </xf>
    <xf numFmtId="4" fontId="49" fillId="27" borderId="22" xfId="0" applyNumberFormat="1" applyFont="1" applyFill="1" applyBorder="1" applyAlignment="1">
      <alignment vertical="center" readingOrder="1"/>
    </xf>
    <xf numFmtId="4" fontId="50" fillId="27" borderId="22" xfId="0" applyNumberFormat="1" applyFont="1" applyFill="1" applyBorder="1" applyAlignment="1">
      <alignment vertical="center" readingOrder="1"/>
    </xf>
    <xf numFmtId="49" fontId="49" fillId="0" borderId="23" xfId="0" applyNumberFormat="1" applyFont="1" applyFill="1" applyBorder="1" applyAlignment="1">
      <alignment horizontal="center" vertical="center" wrapText="1" readingOrder="1"/>
    </xf>
    <xf numFmtId="49" fontId="49" fillId="0" borderId="13" xfId="0" applyNumberFormat="1" applyFont="1" applyFill="1" applyBorder="1" applyAlignment="1">
      <alignment horizontal="center" vertical="center" wrapText="1" readingOrder="1"/>
    </xf>
    <xf numFmtId="164" fontId="49" fillId="26" borderId="13" xfId="124" applyFont="1" applyFill="1" applyBorder="1" applyAlignment="1">
      <alignment horizontal="right" vertical="center" readingOrder="1"/>
    </xf>
    <xf numFmtId="0" fontId="49" fillId="0" borderId="13" xfId="0" applyNumberFormat="1" applyFont="1" applyFill="1" applyBorder="1" applyAlignment="1">
      <alignment horizontal="center" vertical="center" wrapText="1" readingOrder="1"/>
    </xf>
    <xf numFmtId="164" fontId="49" fillId="0" borderId="13" xfId="124" applyFont="1" applyFill="1" applyBorder="1" applyAlignment="1">
      <alignment horizontal="right" vertical="center" wrapText="1" readingOrder="1"/>
    </xf>
    <xf numFmtId="4" fontId="49" fillId="0" borderId="0" xfId="0" applyNumberFormat="1" applyFont="1" applyFill="1" applyBorder="1" applyAlignment="1">
      <alignment vertical="center" readingOrder="1"/>
    </xf>
    <xf numFmtId="43" fontId="49" fillId="0" borderId="23" xfId="124" applyNumberFormat="1" applyFont="1" applyFill="1" applyBorder="1" applyAlignment="1">
      <alignment horizontal="right" vertical="center" wrapText="1" readingOrder="1"/>
    </xf>
    <xf numFmtId="43" fontId="49" fillId="0" borderId="23" xfId="124" applyNumberFormat="1" applyFont="1" applyFill="1" applyBorder="1" applyAlignment="1">
      <alignment vertical="center" readingOrder="1"/>
    </xf>
    <xf numFmtId="43" fontId="49" fillId="0" borderId="23" xfId="124" applyNumberFormat="1" applyFont="1" applyFill="1" applyBorder="1" applyAlignment="1">
      <alignment horizontal="center" vertical="center" wrapText="1" readingOrder="1"/>
    </xf>
    <xf numFmtId="0" fontId="49" fillId="0" borderId="23" xfId="0" applyNumberFormat="1" applyFont="1" applyFill="1" applyBorder="1" applyAlignment="1">
      <alignment horizontal="center" vertical="center" wrapText="1" readingOrder="1"/>
    </xf>
    <xf numFmtId="3" fontId="49" fillId="0" borderId="23" xfId="0" applyNumberFormat="1" applyFont="1" applyFill="1" applyBorder="1" applyAlignment="1">
      <alignment horizontal="center" vertical="center" wrapText="1" readingOrder="1"/>
    </xf>
    <xf numFmtId="0" fontId="47" fillId="0" borderId="0" xfId="0" applyNumberFormat="1" applyFont="1" applyFill="1" applyBorder="1" applyAlignment="1">
      <alignment vertical="center" readingOrder="1"/>
    </xf>
    <xf numFmtId="0" fontId="47" fillId="0" borderId="0" xfId="0" applyNumberFormat="1" applyFont="1" applyFill="1" applyBorder="1" applyAlignment="1">
      <alignment vertical="center" wrapText="1" readingOrder="1"/>
    </xf>
    <xf numFmtId="164" fontId="47" fillId="26" borderId="0" xfId="124" applyFont="1" applyFill="1" applyBorder="1" applyAlignment="1">
      <alignment horizontal="center" vertical="center" readingOrder="1"/>
    </xf>
    <xf numFmtId="0" fontId="48" fillId="0" borderId="0" xfId="0" applyNumberFormat="1" applyFont="1" applyFill="1" applyBorder="1" applyAlignment="1">
      <alignment horizontal="center" vertical="center" readingOrder="1"/>
    </xf>
    <xf numFmtId="0" fontId="47" fillId="0" borderId="24" xfId="0" applyNumberFormat="1" applyFont="1" applyFill="1" applyBorder="1" applyAlignment="1">
      <alignment vertical="center" readingOrder="1"/>
    </xf>
    <xf numFmtId="0" fontId="47" fillId="0" borderId="25" xfId="0" applyNumberFormat="1" applyFont="1" applyFill="1" applyBorder="1" applyAlignment="1">
      <alignment vertical="center" readingOrder="1"/>
    </xf>
    <xf numFmtId="0" fontId="47" fillId="0" borderId="25" xfId="0" applyNumberFormat="1" applyFont="1" applyFill="1" applyBorder="1" applyAlignment="1">
      <alignment vertical="center" wrapText="1" readingOrder="1"/>
    </xf>
    <xf numFmtId="164" fontId="47" fillId="26" borderId="26" xfId="124" applyFont="1" applyFill="1" applyBorder="1" applyAlignment="1">
      <alignment horizontal="center" vertical="center" readingOrder="1"/>
    </xf>
    <xf numFmtId="0" fontId="47" fillId="0" borderId="27" xfId="0" applyNumberFormat="1" applyFont="1" applyFill="1" applyBorder="1" applyAlignment="1">
      <alignment vertical="center" readingOrder="1"/>
    </xf>
    <xf numFmtId="164" fontId="47" fillId="26" borderId="28" xfId="124" applyFont="1" applyFill="1" applyBorder="1" applyAlignment="1">
      <alignment horizontal="center" vertical="center" readingOrder="1"/>
    </xf>
    <xf numFmtId="0" fontId="49" fillId="0" borderId="27" xfId="0" applyNumberFormat="1" applyFont="1" applyFill="1" applyBorder="1" applyAlignment="1">
      <alignment horizontal="left" vertical="center" wrapText="1" readingOrder="1"/>
    </xf>
    <xf numFmtId="0" fontId="49"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vertical="center" wrapText="1" readingOrder="1"/>
    </xf>
    <xf numFmtId="0" fontId="49" fillId="0" borderId="0" xfId="0" applyNumberFormat="1" applyFont="1" applyFill="1" applyBorder="1" applyAlignment="1">
      <alignment vertical="center" readingOrder="1"/>
    </xf>
    <xf numFmtId="164" fontId="49" fillId="26" borderId="28" xfId="124" applyFont="1" applyFill="1" applyBorder="1" applyAlignment="1">
      <alignment vertical="center" readingOrder="1"/>
    </xf>
    <xf numFmtId="0" fontId="49" fillId="0" borderId="29" xfId="0" applyNumberFormat="1" applyFont="1" applyFill="1" applyBorder="1" applyAlignment="1">
      <alignment vertical="center" readingOrder="1"/>
    </xf>
    <xf numFmtId="164" fontId="49" fillId="26" borderId="30" xfId="124" applyFont="1" applyFill="1" applyBorder="1" applyAlignment="1">
      <alignment vertical="center" readingOrder="1"/>
    </xf>
    <xf numFmtId="0" fontId="49" fillId="0" borderId="27" xfId="0" applyNumberFormat="1" applyFont="1" applyFill="1" applyBorder="1" applyAlignment="1">
      <alignment vertical="center" readingOrder="1"/>
    </xf>
    <xf numFmtId="164" fontId="49" fillId="26" borderId="31" xfId="124" applyFont="1" applyFill="1" applyBorder="1" applyAlignment="1">
      <alignment vertical="center" readingOrder="1"/>
    </xf>
    <xf numFmtId="0" fontId="49" fillId="0" borderId="32" xfId="0" applyNumberFormat="1" applyFont="1" applyFill="1" applyBorder="1" applyAlignment="1">
      <alignment vertical="center" readingOrder="1"/>
    </xf>
    <xf numFmtId="0" fontId="49" fillId="0" borderId="33" xfId="0" applyNumberFormat="1" applyFont="1" applyFill="1" applyBorder="1" applyAlignment="1">
      <alignment vertical="center" readingOrder="1"/>
    </xf>
    <xf numFmtId="164" fontId="49" fillId="26" borderId="34" xfId="124" applyFont="1" applyFill="1" applyBorder="1" applyAlignment="1">
      <alignment vertical="center" readingOrder="1"/>
    </xf>
    <xf numFmtId="0" fontId="49" fillId="0" borderId="35" xfId="0" applyNumberFormat="1" applyFont="1" applyFill="1" applyBorder="1" applyAlignment="1">
      <alignment vertical="center" readingOrder="1"/>
    </xf>
    <xf numFmtId="164" fontId="49" fillId="26" borderId="36" xfId="124" applyFont="1" applyFill="1" applyBorder="1" applyAlignment="1">
      <alignment vertical="center" readingOrder="1"/>
    </xf>
    <xf numFmtId="0" fontId="47" fillId="26" borderId="0" xfId="0" applyNumberFormat="1" applyFont="1" applyFill="1" applyBorder="1" applyAlignment="1">
      <alignment vertical="center" readingOrder="1"/>
    </xf>
    <xf numFmtId="0" fontId="48" fillId="26" borderId="0" xfId="0" applyNumberFormat="1" applyFont="1" applyFill="1" applyBorder="1" applyAlignment="1">
      <alignment horizontal="center" vertical="center" readingOrder="1"/>
    </xf>
    <xf numFmtId="0" fontId="49" fillId="26" borderId="0" xfId="0" applyNumberFormat="1" applyFont="1" applyFill="1" applyBorder="1" applyAlignment="1">
      <alignment vertical="center" readingOrder="1"/>
    </xf>
    <xf numFmtId="164" fontId="49" fillId="26" borderId="23" xfId="124" applyFont="1" applyFill="1" applyBorder="1" applyAlignment="1">
      <alignment horizontal="right" vertical="center" wrapText="1" readingOrder="1"/>
    </xf>
    <xf numFmtId="164" fontId="49" fillId="26" borderId="37" xfId="124" applyFont="1" applyFill="1" applyBorder="1" applyAlignment="1">
      <alignment horizontal="right" vertical="center" wrapText="1" readingOrder="1"/>
    </xf>
    <xf numFmtId="164" fontId="49" fillId="26" borderId="13" xfId="124" applyFont="1" applyFill="1" applyBorder="1" applyAlignment="1">
      <alignment horizontal="right" vertical="center" wrapText="1" readingOrder="1"/>
    </xf>
    <xf numFmtId="164" fontId="25" fillId="24" borderId="23" xfId="124" applyFont="1" applyFill="1" applyBorder="1" applyAlignment="1" applyProtection="1">
      <alignment horizontal="center" vertical="top"/>
    </xf>
    <xf numFmtId="0" fontId="25" fillId="24" borderId="38" xfId="105" applyNumberFormat="1" applyFont="1" applyFill="1" applyBorder="1" applyAlignment="1" applyProtection="1">
      <alignment horizontal="center" vertical="center" wrapText="1"/>
    </xf>
    <xf numFmtId="10" fontId="29" fillId="0" borderId="16" xfId="104" applyNumberFormat="1" applyFont="1" applyFill="1" applyBorder="1" applyAlignment="1">
      <alignment horizontal="center" vertical="center"/>
    </xf>
    <xf numFmtId="0" fontId="25" fillId="24" borderId="0" xfId="105" applyNumberFormat="1" applyFont="1" applyFill="1" applyBorder="1" applyAlignment="1">
      <alignment horizontal="left"/>
    </xf>
    <xf numFmtId="4" fontId="6" fillId="24" borderId="0" xfId="124" applyNumberFormat="1" applyFont="1" applyFill="1" applyBorder="1" applyAlignment="1">
      <alignment horizontal="center" vertical="center"/>
    </xf>
    <xf numFmtId="164" fontId="49" fillId="26" borderId="39" xfId="124" applyFont="1" applyFill="1" applyBorder="1" applyAlignment="1">
      <alignment horizontal="right" vertical="center" wrapText="1" readingOrder="1"/>
    </xf>
    <xf numFmtId="0" fontId="3" fillId="24" borderId="0" xfId="105" applyNumberFormat="1" applyFont="1" applyFill="1"/>
    <xf numFmtId="0" fontId="3" fillId="0" borderId="0" xfId="105" applyNumberFormat="1" applyFont="1"/>
    <xf numFmtId="0" fontId="5" fillId="24" borderId="0" xfId="105" applyNumberFormat="1" applyFont="1" applyFill="1" applyBorder="1" applyAlignment="1">
      <alignment vertical="top"/>
    </xf>
    <xf numFmtId="0" fontId="6" fillId="24" borderId="0" xfId="105" applyNumberFormat="1" applyFont="1" applyFill="1" applyBorder="1"/>
    <xf numFmtId="0" fontId="6" fillId="24" borderId="0" xfId="124" applyNumberFormat="1" applyFont="1" applyFill="1" applyBorder="1" applyAlignment="1">
      <alignment horizontal="center"/>
    </xf>
    <xf numFmtId="0" fontId="6" fillId="24" borderId="0" xfId="124" quotePrefix="1" applyNumberFormat="1" applyFont="1" applyFill="1" applyBorder="1" applyAlignment="1">
      <alignment horizontal="center"/>
    </xf>
    <xf numFmtId="0" fontId="5" fillId="0" borderId="0" xfId="105" applyNumberFormat="1" applyFont="1" applyFill="1" applyBorder="1" applyAlignment="1">
      <alignment vertical="top"/>
    </xf>
    <xf numFmtId="0" fontId="6" fillId="24" borderId="0" xfId="105" applyNumberFormat="1" applyFont="1" applyFill="1" applyBorder="1" applyAlignment="1">
      <alignment horizontal="center"/>
    </xf>
    <xf numFmtId="0" fontId="6" fillId="24" borderId="0" xfId="105" applyNumberFormat="1" applyFont="1" applyFill="1" applyBorder="1" applyAlignment="1">
      <alignment vertical="top"/>
    </xf>
    <xf numFmtId="0" fontId="6" fillId="24" borderId="0" xfId="105" applyNumberFormat="1" applyFont="1" applyFill="1" applyBorder="1" applyAlignment="1"/>
    <xf numFmtId="4" fontId="6" fillId="24" borderId="0" xfId="105" applyNumberFormat="1" applyFont="1" applyFill="1" applyBorder="1" applyAlignment="1"/>
    <xf numFmtId="0" fontId="6" fillId="24" borderId="0" xfId="124" applyNumberFormat="1" applyFont="1" applyFill="1" applyBorder="1" applyAlignment="1">
      <alignment horizontal="center" vertical="top"/>
    </xf>
    <xf numFmtId="0" fontId="25" fillId="24" borderId="0" xfId="0" applyNumberFormat="1" applyFont="1" applyFill="1" applyBorder="1" applyAlignment="1">
      <alignment vertical="center" readingOrder="1"/>
    </xf>
    <xf numFmtId="0" fontId="6" fillId="24" borderId="0" xfId="124" applyNumberFormat="1" applyFont="1" applyFill="1" applyBorder="1" applyAlignment="1">
      <alignment horizontal="center" vertical="center"/>
    </xf>
    <xf numFmtId="0" fontId="2" fillId="24" borderId="0" xfId="105" applyNumberFormat="1" applyFont="1" applyFill="1"/>
    <xf numFmtId="0" fontId="2" fillId="0" borderId="0" xfId="105" applyNumberFormat="1" applyFont="1"/>
    <xf numFmtId="10" fontId="6" fillId="24" borderId="13" xfId="113" applyNumberFormat="1" applyFont="1" applyFill="1" applyBorder="1" applyAlignment="1" applyProtection="1">
      <alignment horizontal="center" vertical="center"/>
      <protection locked="0"/>
    </xf>
    <xf numFmtId="10" fontId="3" fillId="0" borderId="0" xfId="105" applyNumberFormat="1" applyFont="1"/>
    <xf numFmtId="10" fontId="6" fillId="24" borderId="23" xfId="113" applyNumberFormat="1" applyFont="1" applyFill="1" applyBorder="1" applyAlignment="1" applyProtection="1">
      <alignment horizontal="right" vertical="top"/>
    </xf>
    <xf numFmtId="10" fontId="6" fillId="24" borderId="13" xfId="105" applyNumberFormat="1" applyFont="1" applyFill="1" applyBorder="1" applyAlignment="1" applyProtection="1">
      <alignment horizontal="right" vertical="top"/>
    </xf>
    <xf numFmtId="0" fontId="6" fillId="24" borderId="13" xfId="105" applyNumberFormat="1" applyFont="1" applyFill="1" applyBorder="1" applyAlignment="1" applyProtection="1">
      <alignment horizontal="right" vertical="top"/>
    </xf>
    <xf numFmtId="10" fontId="6" fillId="24" borderId="13" xfId="105" applyNumberFormat="1" applyFont="1" applyFill="1" applyBorder="1" applyAlignment="1" applyProtection="1">
      <alignment vertical="top"/>
    </xf>
    <xf numFmtId="43" fontId="49" fillId="26" borderId="13" xfId="124" applyNumberFormat="1" applyFont="1" applyFill="1" applyBorder="1" applyAlignment="1">
      <alignment vertical="center" wrapText="1" readingOrder="1"/>
    </xf>
    <xf numFmtId="3" fontId="49" fillId="26" borderId="23" xfId="0" applyNumberFormat="1" applyFont="1" applyFill="1" applyBorder="1" applyAlignment="1">
      <alignment horizontal="center" vertical="center" wrapText="1" readingOrder="1"/>
    </xf>
    <xf numFmtId="0" fontId="49" fillId="26" borderId="13" xfId="0" applyNumberFormat="1" applyFont="1" applyFill="1" applyBorder="1" applyAlignment="1">
      <alignment horizontal="center" vertical="center" wrapText="1" readingOrder="1"/>
    </xf>
    <xf numFmtId="0" fontId="49" fillId="26" borderId="39" xfId="0" applyNumberFormat="1" applyFont="1" applyFill="1" applyBorder="1" applyAlignment="1">
      <alignment horizontal="center" vertical="center" wrapText="1" readingOrder="1"/>
    </xf>
    <xf numFmtId="49" fontId="49" fillId="26" borderId="23" xfId="0" applyNumberFormat="1" applyFont="1" applyFill="1" applyBorder="1" applyAlignment="1">
      <alignment horizontal="center" vertical="center" wrapText="1" readingOrder="1"/>
    </xf>
    <xf numFmtId="0" fontId="50" fillId="26" borderId="0" xfId="0" applyNumberFormat="1" applyFont="1" applyFill="1" applyBorder="1" applyAlignment="1">
      <alignment vertical="center" wrapText="1" readingOrder="1"/>
    </xf>
    <xf numFmtId="0" fontId="50" fillId="26" borderId="23" xfId="0" applyNumberFormat="1" applyFont="1" applyFill="1" applyBorder="1" applyAlignment="1">
      <alignment horizontal="center" vertical="center" wrapText="1" readingOrder="1"/>
    </xf>
    <xf numFmtId="0" fontId="49" fillId="26" borderId="23" xfId="0" applyNumberFormat="1" applyFont="1" applyFill="1" applyBorder="1" applyAlignment="1">
      <alignment horizontal="center" vertical="center" wrapText="1" readingOrder="1"/>
    </xf>
    <xf numFmtId="0" fontId="49" fillId="0" borderId="0" xfId="0" applyNumberFormat="1" applyFont="1" applyFill="1" applyBorder="1" applyAlignment="1">
      <alignment horizontal="center" vertical="center" wrapText="1" readingOrder="1"/>
    </xf>
    <xf numFmtId="164" fontId="49" fillId="26" borderId="28" xfId="124" applyFont="1" applyFill="1" applyBorder="1" applyAlignment="1">
      <alignment horizontal="right" vertical="center" wrapText="1" readingOrder="1"/>
    </xf>
    <xf numFmtId="164" fontId="49" fillId="26" borderId="26" xfId="124" applyFont="1" applyFill="1" applyBorder="1" applyAlignment="1">
      <alignment horizontal="right" vertical="center" wrapText="1" readingOrder="1"/>
    </xf>
    <xf numFmtId="164" fontId="49" fillId="26" borderId="38" xfId="124" applyFont="1" applyFill="1" applyBorder="1" applyAlignment="1">
      <alignment horizontal="right" vertical="center" wrapText="1" readingOrder="1"/>
    </xf>
    <xf numFmtId="164" fontId="49" fillId="26" borderId="30" xfId="124" applyFont="1" applyFill="1" applyBorder="1" applyAlignment="1">
      <alignment horizontal="right" vertical="center" wrapText="1" readingOrder="1"/>
    </xf>
    <xf numFmtId="43" fontId="49" fillId="0" borderId="37" xfId="124" applyNumberFormat="1" applyFont="1" applyFill="1" applyBorder="1" applyAlignment="1">
      <alignment horizontal="right" vertical="center" wrapText="1" readingOrder="1"/>
    </xf>
    <xf numFmtId="4" fontId="50" fillId="27" borderId="13" xfId="0" applyNumberFormat="1" applyFont="1" applyFill="1" applyBorder="1" applyAlignment="1">
      <alignment vertical="center" readingOrder="1"/>
    </xf>
    <xf numFmtId="0" fontId="50" fillId="26" borderId="39" xfId="0" applyNumberFormat="1" applyFont="1" applyFill="1" applyBorder="1" applyAlignment="1">
      <alignment horizontal="center" vertical="center" wrapText="1" readingOrder="1"/>
    </xf>
    <xf numFmtId="4" fontId="49" fillId="26" borderId="13" xfId="0" applyNumberFormat="1" applyFont="1" applyFill="1" applyBorder="1" applyAlignment="1">
      <alignment horizontal="center" vertical="center" wrapText="1" readingOrder="1"/>
    </xf>
    <xf numFmtId="49" fontId="48" fillId="26" borderId="13" xfId="124" applyNumberFormat="1" applyFont="1" applyFill="1" applyBorder="1" applyAlignment="1">
      <alignment horizontal="center" vertical="center" wrapText="1" readingOrder="1"/>
    </xf>
    <xf numFmtId="49" fontId="48" fillId="26" borderId="0" xfId="124" applyNumberFormat="1" applyFont="1" applyFill="1" applyBorder="1" applyAlignment="1">
      <alignment horizontal="center" vertical="center" wrapText="1" readingOrder="1"/>
    </xf>
    <xf numFmtId="4" fontId="49" fillId="26" borderId="39" xfId="0" applyNumberFormat="1" applyFont="1" applyFill="1" applyBorder="1" applyAlignment="1">
      <alignment horizontal="center" vertical="center" wrapText="1" readingOrder="1"/>
    </xf>
    <xf numFmtId="0" fontId="49" fillId="26" borderId="0" xfId="0" applyNumberFormat="1" applyFont="1" applyFill="1" applyBorder="1" applyAlignment="1">
      <alignment vertical="center" wrapText="1" readingOrder="1"/>
    </xf>
    <xf numFmtId="4" fontId="49" fillId="26" borderId="25" xfId="0" applyNumberFormat="1" applyFont="1" applyFill="1" applyBorder="1" applyAlignment="1">
      <alignment horizontal="center" vertical="center" wrapText="1" readingOrder="1"/>
    </xf>
    <xf numFmtId="0" fontId="49" fillId="26" borderId="28" xfId="0" applyNumberFormat="1" applyFont="1" applyFill="1" applyBorder="1" applyAlignment="1">
      <alignment vertical="center" wrapText="1" readingOrder="1"/>
    </xf>
    <xf numFmtId="2" fontId="49" fillId="26" borderId="0" xfId="0" applyNumberFormat="1" applyFont="1" applyFill="1" applyBorder="1" applyAlignment="1">
      <alignment horizontal="center" vertical="center" wrapText="1" readingOrder="1"/>
    </xf>
    <xf numFmtId="0" fontId="49" fillId="26" borderId="24" xfId="0" applyNumberFormat="1" applyFont="1" applyFill="1" applyBorder="1" applyAlignment="1">
      <alignment horizontal="center" vertical="center" wrapText="1" readingOrder="1"/>
    </xf>
    <xf numFmtId="0" fontId="49" fillId="26" borderId="21" xfId="0" applyNumberFormat="1" applyFont="1" applyFill="1" applyBorder="1" applyAlignment="1">
      <alignment horizontal="center" vertical="center" wrapText="1" readingOrder="1"/>
    </xf>
    <xf numFmtId="49" fontId="49" fillId="0" borderId="39" xfId="0" applyNumberFormat="1" applyFont="1" applyFill="1" applyBorder="1" applyAlignment="1">
      <alignment horizontal="center" vertical="center" wrapText="1" readingOrder="1"/>
    </xf>
    <xf numFmtId="43" fontId="49" fillId="0" borderId="37" xfId="124" applyNumberFormat="1" applyFont="1" applyFill="1" applyBorder="1" applyAlignment="1">
      <alignment horizontal="center" vertical="center" wrapText="1" readingOrder="1"/>
    </xf>
    <xf numFmtId="0" fontId="50" fillId="26" borderId="40" xfId="0" applyNumberFormat="1" applyFont="1" applyFill="1" applyBorder="1" applyAlignment="1">
      <alignment horizontal="center" vertical="center" wrapText="1" readingOrder="1"/>
    </xf>
    <xf numFmtId="0" fontId="49" fillId="26" borderId="22" xfId="0" applyNumberFormat="1" applyFont="1" applyFill="1" applyBorder="1" applyAlignment="1">
      <alignment horizontal="center" vertical="center" wrapText="1" readingOrder="1"/>
    </xf>
    <xf numFmtId="164" fontId="49" fillId="26" borderId="41" xfId="124" applyFont="1" applyFill="1" applyBorder="1" applyAlignment="1">
      <alignment horizontal="right" vertical="center" wrapText="1" readingOrder="1"/>
    </xf>
    <xf numFmtId="0" fontId="49" fillId="26" borderId="37" xfId="0" applyNumberFormat="1" applyFont="1" applyFill="1" applyBorder="1" applyAlignment="1">
      <alignment horizontal="center" vertical="center" wrapText="1" readingOrder="1"/>
    </xf>
    <xf numFmtId="0" fontId="6" fillId="24" borderId="13" xfId="105" applyNumberFormat="1" applyFont="1" applyFill="1" applyBorder="1" applyAlignment="1" applyProtection="1">
      <alignment horizontal="center" vertical="center"/>
      <protection locked="0"/>
    </xf>
    <xf numFmtId="164" fontId="6" fillId="24" borderId="13" xfId="124" applyFont="1" applyFill="1" applyBorder="1" applyAlignment="1" applyProtection="1">
      <alignment horizontal="center" vertical="center"/>
      <protection locked="0"/>
    </xf>
    <xf numFmtId="164" fontId="25" fillId="24" borderId="13" xfId="124" applyFont="1" applyFill="1" applyBorder="1" applyAlignment="1" applyProtection="1">
      <alignment horizontal="center" vertical="center"/>
      <protection locked="0"/>
    </xf>
    <xf numFmtId="164" fontId="25" fillId="24" borderId="13" xfId="124" applyFont="1" applyFill="1" applyBorder="1" applyAlignment="1" applyProtection="1">
      <alignment horizontal="left" vertical="center"/>
      <protection locked="0"/>
    </xf>
    <xf numFmtId="10" fontId="25" fillId="24" borderId="13" xfId="113" applyNumberFormat="1" applyFont="1" applyFill="1" applyBorder="1" applyAlignment="1" applyProtection="1">
      <alignment horizontal="center" vertical="center"/>
      <protection locked="0"/>
    </xf>
    <xf numFmtId="0" fontId="2" fillId="0" borderId="0" xfId="105" applyNumberFormat="1" applyFont="1" applyBorder="1"/>
    <xf numFmtId="172" fontId="2" fillId="0" borderId="0" xfId="105" applyNumberFormat="1" applyFont="1" applyBorder="1"/>
    <xf numFmtId="0" fontId="2" fillId="0" borderId="0" xfId="105" applyNumberFormat="1" applyFont="1" applyBorder="1" applyAlignment="1">
      <alignment horizontal="center"/>
    </xf>
    <xf numFmtId="43" fontId="2" fillId="0" borderId="0" xfId="105" applyNumberFormat="1" applyFont="1" applyBorder="1"/>
    <xf numFmtId="10" fontId="2" fillId="0" borderId="0" xfId="105" applyNumberFormat="1" applyFont="1"/>
    <xf numFmtId="43" fontId="47" fillId="0" borderId="0" xfId="0" applyNumberFormat="1" applyFont="1" applyFill="1" applyBorder="1" applyAlignment="1">
      <alignment vertical="center" readingOrder="1"/>
    </xf>
    <xf numFmtId="43" fontId="49" fillId="0" borderId="13" xfId="124" applyNumberFormat="1" applyFont="1" applyFill="1" applyBorder="1" applyAlignment="1">
      <alignment horizontal="center" vertical="center" wrapText="1" readingOrder="1"/>
    </xf>
    <xf numFmtId="49" fontId="49" fillId="0" borderId="37" xfId="0" applyNumberFormat="1" applyFont="1" applyFill="1" applyBorder="1" applyAlignment="1">
      <alignment horizontal="center" vertical="center" wrapText="1" readingOrder="1"/>
    </xf>
    <xf numFmtId="43" fontId="49" fillId="0" borderId="39" xfId="124" applyNumberFormat="1" applyFont="1" applyFill="1" applyBorder="1" applyAlignment="1">
      <alignment horizontal="center" vertical="center" wrapText="1" readingOrder="1"/>
    </xf>
    <xf numFmtId="43" fontId="49" fillId="26" borderId="39" xfId="124" applyNumberFormat="1" applyFont="1" applyFill="1" applyBorder="1" applyAlignment="1">
      <alignment vertical="center" wrapText="1" readingOrder="1"/>
    </xf>
    <xf numFmtId="0" fontId="50" fillId="27" borderId="13" xfId="0" applyNumberFormat="1" applyFont="1" applyFill="1" applyBorder="1" applyAlignment="1">
      <alignment horizontal="center" vertical="center" wrapText="1" readingOrder="1"/>
    </xf>
    <xf numFmtId="49" fontId="50" fillId="27" borderId="13" xfId="0" applyNumberFormat="1" applyFont="1" applyFill="1" applyBorder="1" applyAlignment="1">
      <alignment horizontal="center" vertical="center" wrapText="1" readingOrder="1"/>
    </xf>
    <xf numFmtId="49" fontId="49" fillId="27" borderId="13" xfId="0" applyNumberFormat="1" applyFont="1" applyFill="1" applyBorder="1" applyAlignment="1">
      <alignment horizontal="center" vertical="center" wrapText="1" readingOrder="1"/>
    </xf>
    <xf numFmtId="164" fontId="49" fillId="27" borderId="13" xfId="124" applyFont="1" applyFill="1" applyBorder="1" applyAlignment="1">
      <alignment horizontal="center" vertical="center" wrapText="1" readingOrder="1"/>
    </xf>
    <xf numFmtId="4" fontId="49" fillId="27" borderId="13" xfId="0" applyNumberFormat="1" applyFont="1" applyFill="1" applyBorder="1" applyAlignment="1">
      <alignment vertical="center" readingOrder="1"/>
    </xf>
    <xf numFmtId="0" fontId="29" fillId="26" borderId="0" xfId="104" applyFont="1" applyFill="1" applyBorder="1" applyAlignment="1">
      <alignment vertical="center"/>
    </xf>
    <xf numFmtId="3" fontId="49" fillId="0" borderId="13" xfId="0" applyNumberFormat="1" applyFont="1" applyFill="1" applyBorder="1" applyAlignment="1">
      <alignment horizontal="center" vertical="center" wrapText="1" readingOrder="1"/>
    </xf>
    <xf numFmtId="164" fontId="59" fillId="26" borderId="26" xfId="124" applyFont="1" applyFill="1" applyBorder="1" applyAlignment="1">
      <alignment horizontal="right" vertical="center" wrapText="1" readingOrder="1"/>
    </xf>
    <xf numFmtId="164" fontId="59" fillId="26" borderId="28" xfId="124" applyFont="1" applyFill="1" applyBorder="1" applyAlignment="1">
      <alignment horizontal="right" vertical="center" wrapText="1" readingOrder="1"/>
    </xf>
    <xf numFmtId="164" fontId="49" fillId="26" borderId="28" xfId="124" applyFont="1" applyFill="1" applyBorder="1" applyAlignment="1">
      <alignment horizontal="left" vertical="center" wrapText="1" readingOrder="1"/>
    </xf>
    <xf numFmtId="4" fontId="49" fillId="26" borderId="13" xfId="124" applyNumberFormat="1" applyFont="1" applyFill="1" applyBorder="1" applyAlignment="1">
      <alignment horizontal="right" vertical="center" wrapText="1" readingOrder="1"/>
    </xf>
    <xf numFmtId="4" fontId="47" fillId="26" borderId="0" xfId="0" applyFont="1" applyFill="1" applyBorder="1" applyAlignment="1">
      <alignment vertical="center" readingOrder="1"/>
    </xf>
    <xf numFmtId="4" fontId="49" fillId="26" borderId="0" xfId="0" applyFont="1" applyFill="1" applyBorder="1" applyAlignment="1">
      <alignment vertical="center" readingOrder="1"/>
    </xf>
    <xf numFmtId="2" fontId="3" fillId="0" borderId="0" xfId="105" applyNumberFormat="1"/>
    <xf numFmtId="165" fontId="47" fillId="0" borderId="0" xfId="58" applyFont="1" applyFill="1" applyBorder="1" applyAlignment="1">
      <alignment vertical="center" readingOrder="1"/>
    </xf>
    <xf numFmtId="0" fontId="49" fillId="26" borderId="0" xfId="0" applyNumberFormat="1" applyFont="1" applyFill="1" applyBorder="1" applyAlignment="1">
      <alignment vertical="distributed"/>
    </xf>
    <xf numFmtId="4" fontId="49" fillId="26" borderId="0" xfId="0" applyNumberFormat="1" applyFont="1" applyFill="1" applyBorder="1" applyAlignment="1">
      <alignment horizontal="center" vertical="distributed"/>
    </xf>
    <xf numFmtId="0" fontId="49" fillId="26" borderId="0" xfId="0" applyNumberFormat="1" applyFont="1" applyFill="1" applyBorder="1" applyAlignment="1">
      <alignment horizontal="right" vertical="distributed"/>
    </xf>
    <xf numFmtId="4" fontId="49" fillId="26" borderId="25" xfId="0" applyNumberFormat="1" applyFont="1" applyFill="1" applyBorder="1" applyAlignment="1">
      <alignment horizontal="center" vertical="distributed"/>
    </xf>
    <xf numFmtId="0" fontId="49" fillId="26" borderId="0" xfId="0" applyNumberFormat="1" applyFont="1" applyFill="1" applyBorder="1" applyAlignment="1">
      <alignment horizontal="left" vertical="distributed"/>
    </xf>
    <xf numFmtId="0" fontId="49" fillId="26" borderId="14" xfId="0" applyNumberFormat="1" applyFont="1" applyFill="1" applyBorder="1" applyAlignment="1">
      <alignment horizontal="center" vertical="center" wrapText="1" readingOrder="1"/>
    </xf>
    <xf numFmtId="0" fontId="49" fillId="26" borderId="42" xfId="0" applyNumberFormat="1" applyFont="1" applyFill="1" applyBorder="1" applyAlignment="1">
      <alignment horizontal="center" vertical="center" wrapText="1" readingOrder="1"/>
    </xf>
    <xf numFmtId="0" fontId="50" fillId="26" borderId="24" xfId="0" applyNumberFormat="1" applyFont="1" applyFill="1" applyBorder="1" applyAlignment="1">
      <alignment vertical="center" wrapText="1" readingOrder="1"/>
    </xf>
    <xf numFmtId="0" fontId="49" fillId="26" borderId="25" xfId="0" applyNumberFormat="1" applyFont="1" applyFill="1" applyBorder="1" applyAlignment="1">
      <alignment horizontal="right" vertical="center" wrapText="1" readingOrder="1"/>
    </xf>
    <xf numFmtId="0" fontId="50" fillId="26" borderId="25" xfId="0" applyNumberFormat="1" applyFont="1" applyFill="1" applyBorder="1" applyAlignment="1">
      <alignment vertical="center" wrapText="1" readingOrder="1"/>
    </xf>
    <xf numFmtId="0" fontId="49" fillId="26" borderId="26" xfId="0" applyNumberFormat="1" applyFont="1" applyFill="1" applyBorder="1" applyAlignment="1">
      <alignment horizontal="right" vertical="center" wrapText="1" readingOrder="1"/>
    </xf>
    <xf numFmtId="0" fontId="49" fillId="26" borderId="0" xfId="0" applyNumberFormat="1" applyFont="1" applyFill="1" applyBorder="1" applyAlignment="1">
      <alignment horizontal="center" vertical="top" wrapText="1" readingOrder="1"/>
    </xf>
    <xf numFmtId="0" fontId="47" fillId="26" borderId="0" xfId="0" applyNumberFormat="1" applyFont="1" applyFill="1" applyBorder="1" applyAlignment="1">
      <alignment vertical="center" wrapText="1" readingOrder="1"/>
    </xf>
    <xf numFmtId="4" fontId="49" fillId="26" borderId="43" xfId="0" applyNumberFormat="1" applyFont="1" applyFill="1" applyBorder="1" applyAlignment="1">
      <alignment vertical="center" wrapText="1" readingOrder="1"/>
    </xf>
    <xf numFmtId="4" fontId="49" fillId="26" borderId="43" xfId="0" applyNumberFormat="1" applyFont="1" applyFill="1" applyBorder="1" applyAlignment="1">
      <alignment horizontal="left" vertical="center" wrapText="1" readingOrder="1"/>
    </xf>
    <xf numFmtId="3" fontId="49" fillId="26" borderId="0" xfId="0" applyNumberFormat="1" applyFont="1" applyFill="1" applyBorder="1" applyAlignment="1">
      <alignment horizontal="center" vertical="center" wrapText="1" readingOrder="1"/>
    </xf>
    <xf numFmtId="2" fontId="49" fillId="26" borderId="13" xfId="0" applyNumberFormat="1" applyFont="1" applyFill="1" applyBorder="1" applyAlignment="1">
      <alignment horizontal="center" vertical="center" wrapText="1" readingOrder="1"/>
    </xf>
    <xf numFmtId="4" fontId="49" fillId="26" borderId="23" xfId="124" applyNumberFormat="1" applyFont="1" applyFill="1" applyBorder="1" applyAlignment="1">
      <alignment horizontal="right" vertical="center" wrapText="1" readingOrder="1"/>
    </xf>
    <xf numFmtId="0" fontId="50" fillId="26" borderId="37" xfId="0" applyNumberFormat="1" applyFont="1" applyFill="1" applyBorder="1" applyAlignment="1">
      <alignment horizontal="center" vertical="center" wrapText="1" readingOrder="1"/>
    </xf>
    <xf numFmtId="0" fontId="50" fillId="26" borderId="28" xfId="0" applyNumberFormat="1" applyFont="1" applyFill="1" applyBorder="1" applyAlignment="1">
      <alignment vertical="center" wrapText="1" readingOrder="1"/>
    </xf>
    <xf numFmtId="0" fontId="49" fillId="0" borderId="25" xfId="0" applyNumberFormat="1" applyFont="1" applyFill="1" applyBorder="1" applyAlignment="1">
      <alignment vertical="center" wrapText="1" readingOrder="1"/>
    </xf>
    <xf numFmtId="0" fontId="49" fillId="0" borderId="0" xfId="0" applyNumberFormat="1" applyFont="1" applyFill="1" applyBorder="1" applyAlignment="1">
      <alignment vertical="center" wrapText="1" readingOrder="1"/>
    </xf>
    <xf numFmtId="43" fontId="49" fillId="0" borderId="23" xfId="124" applyNumberFormat="1" applyFont="1" applyFill="1" applyBorder="1" applyAlignment="1">
      <alignment vertical="center" wrapText="1" readingOrder="1"/>
    </xf>
    <xf numFmtId="0" fontId="49" fillId="0" borderId="24" xfId="0" applyNumberFormat="1" applyFont="1" applyFill="1" applyBorder="1" applyAlignment="1">
      <alignment horizontal="center" vertical="center" wrapText="1" readingOrder="1"/>
    </xf>
    <xf numFmtId="0" fontId="49" fillId="0" borderId="25" xfId="0" applyNumberFormat="1" applyFont="1" applyFill="1" applyBorder="1" applyAlignment="1">
      <alignment horizontal="center" vertical="center" wrapText="1" readingOrder="1"/>
    </xf>
    <xf numFmtId="0" fontId="49" fillId="0" borderId="27" xfId="0" applyNumberFormat="1" applyFont="1" applyFill="1" applyBorder="1" applyAlignment="1">
      <alignment horizontal="center" vertical="center" wrapText="1" readingOrder="1"/>
    </xf>
    <xf numFmtId="4" fontId="49" fillId="0" borderId="0" xfId="0" applyNumberFormat="1" applyFont="1" applyFill="1" applyBorder="1" applyAlignment="1">
      <alignment horizontal="center" vertical="center" wrapText="1" readingOrder="1"/>
    </xf>
    <xf numFmtId="164" fontId="47" fillId="26" borderId="25" xfId="124" applyFont="1" applyFill="1" applyBorder="1" applyAlignment="1">
      <alignment horizontal="center" vertical="center" readingOrder="1"/>
    </xf>
    <xf numFmtId="164" fontId="49" fillId="26" borderId="0" xfId="124" applyFont="1" applyFill="1" applyBorder="1" applyAlignment="1">
      <alignment vertical="center" readingOrder="1"/>
    </xf>
    <xf numFmtId="164" fontId="49" fillId="26" borderId="33" xfId="124" applyFont="1" applyFill="1" applyBorder="1" applyAlignment="1">
      <alignment vertical="center" readingOrder="1"/>
    </xf>
    <xf numFmtId="164" fontId="59" fillId="26" borderId="30" xfId="124" applyFont="1" applyFill="1" applyBorder="1" applyAlignment="1">
      <alignment horizontal="right" vertical="center" wrapText="1" readingOrder="1"/>
    </xf>
    <xf numFmtId="164" fontId="49" fillId="26" borderId="24" xfId="124" applyFont="1" applyFill="1" applyBorder="1" applyAlignment="1">
      <alignment horizontal="right" vertical="center" wrapText="1" readingOrder="1"/>
    </xf>
    <xf numFmtId="164" fontId="49" fillId="26" borderId="29" xfId="124" applyFont="1" applyFill="1" applyBorder="1" applyAlignment="1">
      <alignment horizontal="right" vertical="center" wrapText="1" readingOrder="1"/>
    </xf>
    <xf numFmtId="164" fontId="49" fillId="28" borderId="13" xfId="124" applyFont="1" applyFill="1" applyBorder="1" applyAlignment="1">
      <alignment horizontal="right" vertical="center" wrapText="1" readingOrder="1"/>
    </xf>
    <xf numFmtId="0" fontId="47" fillId="0" borderId="28" xfId="0" applyNumberFormat="1" applyFont="1" applyFill="1" applyBorder="1" applyAlignment="1">
      <alignment vertical="center" readingOrder="1"/>
    </xf>
    <xf numFmtId="164" fontId="49" fillId="26" borderId="22" xfId="124" applyFont="1" applyFill="1" applyBorder="1" applyAlignment="1">
      <alignment horizontal="right" vertical="center" wrapText="1" readingOrder="1"/>
    </xf>
    <xf numFmtId="4" fontId="59" fillId="26" borderId="0" xfId="0" applyNumberFormat="1" applyFont="1" applyFill="1" applyBorder="1" applyAlignment="1">
      <alignment horizontal="center" vertical="center" wrapText="1" readingOrder="1"/>
    </xf>
    <xf numFmtId="4" fontId="59" fillId="26" borderId="25" xfId="0" applyNumberFormat="1" applyFont="1" applyFill="1" applyBorder="1" applyAlignment="1">
      <alignment horizontal="center" vertical="center" wrapText="1" readingOrder="1"/>
    </xf>
    <xf numFmtId="0" fontId="59" fillId="26" borderId="13" xfId="0" applyNumberFormat="1" applyFont="1" applyFill="1" applyBorder="1" applyAlignment="1">
      <alignment horizontal="center" vertical="center" wrapText="1" readingOrder="1"/>
    </xf>
    <xf numFmtId="0" fontId="59" fillId="26" borderId="13" xfId="0" applyNumberFormat="1" applyFont="1" applyFill="1" applyBorder="1" applyAlignment="1">
      <alignment vertical="center" wrapText="1" readingOrder="1"/>
    </xf>
    <xf numFmtId="4" fontId="59" fillId="26" borderId="13" xfId="0" applyNumberFormat="1" applyFont="1" applyFill="1" applyBorder="1" applyAlignment="1">
      <alignment horizontal="center" vertical="center" wrapText="1" readingOrder="1"/>
    </xf>
    <xf numFmtId="0" fontId="60" fillId="26" borderId="13" xfId="0" applyNumberFormat="1" applyFont="1" applyFill="1" applyBorder="1" applyAlignment="1">
      <alignment vertical="center" wrapText="1" readingOrder="1"/>
    </xf>
    <xf numFmtId="0" fontId="47" fillId="0" borderId="37" xfId="0" applyNumberFormat="1" applyFont="1" applyFill="1" applyBorder="1" applyAlignment="1">
      <alignment vertical="center" readingOrder="1"/>
    </xf>
    <xf numFmtId="164" fontId="49" fillId="26" borderId="37" xfId="124" applyFont="1" applyFill="1" applyBorder="1" applyAlignment="1">
      <alignment horizontal="left" vertical="center" wrapText="1" readingOrder="1"/>
    </xf>
    <xf numFmtId="4" fontId="49" fillId="26" borderId="24" xfId="0" applyNumberFormat="1" applyFont="1" applyFill="1" applyBorder="1" applyAlignment="1">
      <alignment horizontal="center" vertical="center" wrapText="1" readingOrder="1"/>
    </xf>
    <xf numFmtId="0" fontId="60" fillId="26" borderId="38" xfId="0" applyNumberFormat="1" applyFont="1" applyFill="1" applyBorder="1" applyAlignment="1">
      <alignment vertical="center" wrapText="1" readingOrder="1"/>
    </xf>
    <xf numFmtId="0" fontId="59" fillId="26" borderId="38" xfId="0" applyNumberFormat="1" applyFont="1" applyFill="1" applyBorder="1" applyAlignment="1">
      <alignment vertical="center" wrapText="1" readingOrder="1"/>
    </xf>
    <xf numFmtId="4" fontId="59" fillId="26" borderId="38" xfId="0" applyNumberFormat="1" applyFont="1" applyFill="1" applyBorder="1" applyAlignment="1">
      <alignment vertical="center" wrapText="1" readingOrder="1"/>
    </xf>
    <xf numFmtId="0" fontId="59" fillId="26" borderId="13" xfId="0" applyNumberFormat="1" applyFont="1" applyFill="1" applyBorder="1" applyAlignment="1">
      <alignment horizontal="center" vertical="top" wrapText="1" readingOrder="1"/>
    </xf>
    <xf numFmtId="2" fontId="59" fillId="26" borderId="13" xfId="0" applyNumberFormat="1" applyFont="1" applyFill="1" applyBorder="1" applyAlignment="1">
      <alignment horizontal="center" vertical="center" wrapText="1" readingOrder="1"/>
    </xf>
    <xf numFmtId="0" fontId="61" fillId="0" borderId="0" xfId="0" applyNumberFormat="1" applyFont="1" applyFill="1" applyBorder="1" applyAlignment="1">
      <alignment horizontal="center" vertical="center" readingOrder="1"/>
    </xf>
    <xf numFmtId="2" fontId="61" fillId="0" borderId="0" xfId="0" applyNumberFormat="1" applyFont="1" applyFill="1" applyBorder="1" applyAlignment="1">
      <alignment horizontal="center" vertical="center" readingOrder="1"/>
    </xf>
    <xf numFmtId="4" fontId="59" fillId="26" borderId="0" xfId="0" applyNumberFormat="1" applyFont="1" applyFill="1" applyBorder="1" applyAlignment="1">
      <alignment vertical="center" wrapText="1" readingOrder="1"/>
    </xf>
    <xf numFmtId="0" fontId="59" fillId="26" borderId="0" xfId="0" applyNumberFormat="1" applyFont="1" applyFill="1" applyBorder="1" applyAlignment="1">
      <alignment horizontal="center" vertical="top" wrapText="1" readingOrder="1"/>
    </xf>
    <xf numFmtId="164" fontId="49" fillId="26" borderId="30" xfId="124" applyFont="1" applyFill="1" applyBorder="1" applyAlignment="1">
      <alignment horizontal="left" vertical="center" wrapText="1" readingOrder="1"/>
    </xf>
    <xf numFmtId="164" fontId="49" fillId="26" borderId="21" xfId="124" applyFont="1" applyFill="1" applyBorder="1" applyAlignment="1">
      <alignment horizontal="left" vertical="center" wrapText="1" readingOrder="1"/>
    </xf>
    <xf numFmtId="0" fontId="60" fillId="26" borderId="0" xfId="0" applyNumberFormat="1" applyFont="1" applyFill="1" applyBorder="1" applyAlignment="1">
      <alignment vertical="center" wrapText="1" readingOrder="1"/>
    </xf>
    <xf numFmtId="0" fontId="59" fillId="26" borderId="25" xfId="0" applyNumberFormat="1" applyFont="1" applyFill="1" applyBorder="1" applyAlignment="1">
      <alignment vertical="center" wrapText="1" readingOrder="1"/>
    </xf>
    <xf numFmtId="0" fontId="59" fillId="26" borderId="0" xfId="0" applyNumberFormat="1" applyFont="1" applyFill="1" applyBorder="1" applyAlignment="1">
      <alignment horizontal="center" vertical="center" readingOrder="1"/>
    </xf>
    <xf numFmtId="0" fontId="59" fillId="26" borderId="25" xfId="0" applyNumberFormat="1" applyFont="1" applyFill="1" applyBorder="1" applyAlignment="1">
      <alignment horizontal="center" vertical="center" wrapText="1" readingOrder="1"/>
    </xf>
    <xf numFmtId="0" fontId="59" fillId="26" borderId="29" xfId="0" applyNumberFormat="1" applyFont="1" applyFill="1" applyBorder="1" applyAlignment="1">
      <alignment vertical="center" wrapText="1" readingOrder="1"/>
    </xf>
    <xf numFmtId="4" fontId="59" fillId="26" borderId="29" xfId="0" applyNumberFormat="1" applyFont="1" applyFill="1" applyBorder="1" applyAlignment="1">
      <alignment horizontal="center" vertical="center" wrapText="1" readingOrder="1"/>
    </xf>
    <xf numFmtId="0" fontId="59" fillId="0" borderId="13" xfId="0" applyNumberFormat="1" applyFont="1" applyFill="1" applyBorder="1" applyAlignment="1">
      <alignment horizontal="center" vertical="center" readingOrder="1"/>
    </xf>
    <xf numFmtId="2" fontId="59" fillId="26" borderId="0" xfId="0" applyNumberFormat="1" applyFont="1" applyFill="1" applyBorder="1" applyAlignment="1">
      <alignment horizontal="center" vertical="center" readingOrder="1"/>
    </xf>
    <xf numFmtId="2" fontId="59" fillId="26" borderId="0" xfId="0" applyNumberFormat="1" applyFont="1" applyFill="1" applyBorder="1" applyAlignment="1">
      <alignment horizontal="center" vertical="center" wrapText="1" readingOrder="1"/>
    </xf>
    <xf numFmtId="0" fontId="59" fillId="26" borderId="29" xfId="0" applyNumberFormat="1" applyFont="1" applyFill="1" applyBorder="1" applyAlignment="1">
      <alignment horizontal="center" vertical="center" wrapText="1" readingOrder="1"/>
    </xf>
    <xf numFmtId="0" fontId="61" fillId="0" borderId="0" xfId="0" applyNumberFormat="1" applyFont="1" applyFill="1" applyBorder="1" applyAlignment="1">
      <alignment vertical="center" readingOrder="1"/>
    </xf>
    <xf numFmtId="0" fontId="47" fillId="26" borderId="28" xfId="0" applyNumberFormat="1" applyFont="1" applyFill="1" applyBorder="1" applyAlignment="1">
      <alignment vertical="center" readingOrder="1"/>
    </xf>
    <xf numFmtId="2" fontId="59" fillId="0" borderId="13" xfId="0" applyNumberFormat="1" applyFont="1" applyFill="1" applyBorder="1" applyAlignment="1">
      <alignment horizontal="center" vertical="center" readingOrder="1"/>
    </xf>
    <xf numFmtId="43" fontId="49" fillId="0" borderId="37" xfId="124" applyNumberFormat="1" applyFont="1" applyFill="1" applyBorder="1" applyAlignment="1">
      <alignment vertical="center" readingOrder="1"/>
    </xf>
    <xf numFmtId="4" fontId="59" fillId="26" borderId="13" xfId="0" applyNumberFormat="1" applyFont="1" applyFill="1" applyBorder="1" applyAlignment="1">
      <alignment vertical="center" wrapText="1" readingOrder="1"/>
    </xf>
    <xf numFmtId="2" fontId="59" fillId="26" borderId="13" xfId="0" applyNumberFormat="1" applyFont="1" applyFill="1" applyBorder="1" applyAlignment="1">
      <alignment horizontal="center" vertical="top" wrapText="1" readingOrder="1"/>
    </xf>
    <xf numFmtId="2" fontId="59" fillId="26" borderId="29" xfId="0" applyNumberFormat="1" applyFont="1" applyFill="1" applyBorder="1" applyAlignment="1">
      <alignment horizontal="center" vertical="center" wrapText="1" readingOrder="1"/>
    </xf>
    <xf numFmtId="0" fontId="61" fillId="26" borderId="0" xfId="0" applyNumberFormat="1" applyFont="1" applyFill="1" applyBorder="1" applyAlignment="1">
      <alignment vertical="center" readingOrder="1"/>
    </xf>
    <xf numFmtId="4" fontId="60" fillId="26" borderId="0" xfId="0" applyNumberFormat="1" applyFont="1" applyFill="1" applyBorder="1" applyAlignment="1">
      <alignment vertical="center" wrapText="1" readingOrder="1"/>
    </xf>
    <xf numFmtId="0" fontId="59" fillId="26" borderId="21" xfId="0" applyNumberFormat="1" applyFont="1" applyFill="1" applyBorder="1" applyAlignment="1">
      <alignment horizontal="center" vertical="center" wrapText="1" readingOrder="1"/>
    </xf>
    <xf numFmtId="0" fontId="60" fillId="26" borderId="0" xfId="0" applyNumberFormat="1" applyFont="1" applyFill="1" applyBorder="1" applyAlignment="1">
      <alignment horizontal="center" vertical="center" wrapText="1" readingOrder="1"/>
    </xf>
    <xf numFmtId="49" fontId="62" fillId="26" borderId="0" xfId="124" applyNumberFormat="1" applyFont="1" applyFill="1" applyBorder="1" applyAlignment="1">
      <alignment horizontal="center" vertical="center" wrapText="1" readingOrder="1"/>
    </xf>
    <xf numFmtId="0" fontId="60" fillId="26" borderId="39" xfId="0" applyNumberFormat="1" applyFont="1" applyFill="1" applyBorder="1" applyAlignment="1">
      <alignment horizontal="center" vertical="center" wrapText="1" readingOrder="1"/>
    </xf>
    <xf numFmtId="4" fontId="59" fillId="26" borderId="39" xfId="0" applyNumberFormat="1" applyFont="1" applyFill="1" applyBorder="1" applyAlignment="1">
      <alignment horizontal="center" vertical="center" wrapText="1" readingOrder="1"/>
    </xf>
    <xf numFmtId="0" fontId="59" fillId="26" borderId="24" xfId="0" applyNumberFormat="1" applyFont="1" applyFill="1" applyBorder="1" applyAlignment="1">
      <alignment horizontal="center" vertical="center" wrapText="1" readingOrder="1"/>
    </xf>
    <xf numFmtId="0" fontId="62" fillId="0" borderId="0" xfId="0" applyNumberFormat="1" applyFont="1" applyFill="1" applyBorder="1" applyAlignment="1">
      <alignment horizontal="center" vertical="center" readingOrder="1"/>
    </xf>
    <xf numFmtId="4" fontId="61" fillId="0" borderId="0" xfId="0" applyNumberFormat="1" applyFont="1" applyFill="1" applyBorder="1" applyAlignment="1">
      <alignment vertical="center" readingOrder="1"/>
    </xf>
    <xf numFmtId="49" fontId="62" fillId="26" borderId="13" xfId="124" applyNumberFormat="1" applyFont="1" applyFill="1" applyBorder="1" applyAlignment="1">
      <alignment horizontal="center" vertical="center" wrapText="1" readingOrder="1"/>
    </xf>
    <xf numFmtId="0" fontId="49" fillId="26" borderId="29" xfId="0" applyNumberFormat="1" applyFont="1" applyFill="1" applyBorder="1" applyAlignment="1">
      <alignment vertical="center" wrapText="1" readingOrder="1"/>
    </xf>
    <xf numFmtId="0" fontId="49" fillId="26" borderId="30" xfId="0" applyNumberFormat="1" applyFont="1" applyFill="1" applyBorder="1" applyAlignment="1">
      <alignment vertical="center" wrapText="1" readingOrder="1"/>
    </xf>
    <xf numFmtId="4" fontId="49" fillId="26" borderId="0" xfId="0" applyNumberFormat="1" applyFont="1" applyFill="1" applyBorder="1" applyAlignment="1">
      <alignment horizontal="center" vertical="center" wrapText="1" readingOrder="1"/>
    </xf>
    <xf numFmtId="4" fontId="49" fillId="26" borderId="29"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center" vertical="center" wrapText="1" readingOrder="1"/>
    </xf>
    <xf numFmtId="0" fontId="49" fillId="26" borderId="29"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0" fontId="59" fillId="26" borderId="27" xfId="0" applyNumberFormat="1" applyFont="1" applyFill="1" applyBorder="1" applyAlignment="1">
      <alignment horizontal="center" vertical="center" wrapText="1" readingOrder="1"/>
    </xf>
    <xf numFmtId="0" fontId="49" fillId="26" borderId="25" xfId="0" applyNumberFormat="1" applyFont="1" applyFill="1" applyBorder="1" applyAlignment="1">
      <alignment vertical="center" wrapText="1" readingOrder="1"/>
    </xf>
    <xf numFmtId="0" fontId="49" fillId="26" borderId="25"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left" vertical="center" wrapText="1" readingOrder="1"/>
    </xf>
    <xf numFmtId="0" fontId="49" fillId="26" borderId="25" xfId="0" applyNumberFormat="1" applyFont="1" applyFill="1" applyBorder="1" applyAlignment="1">
      <alignment horizontal="center" vertical="center" wrapText="1" readingOrder="1"/>
    </xf>
    <xf numFmtId="0" fontId="50" fillId="26" borderId="22" xfId="0" applyNumberFormat="1" applyFont="1" applyFill="1" applyBorder="1" applyAlignment="1">
      <alignment horizontal="center" vertical="center" wrapText="1" readingOrder="1"/>
    </xf>
    <xf numFmtId="164" fontId="59" fillId="26" borderId="28" xfId="124" applyFont="1" applyFill="1" applyBorder="1" applyAlignment="1">
      <alignment horizontal="left" vertical="center" wrapText="1" readingOrder="1"/>
    </xf>
    <xf numFmtId="164" fontId="59" fillId="26" borderId="30" xfId="124" applyFont="1" applyFill="1" applyBorder="1" applyAlignment="1">
      <alignment horizontal="left" vertical="center" wrapText="1" readingOrder="1"/>
    </xf>
    <xf numFmtId="0" fontId="50" fillId="26" borderId="44" xfId="0" applyNumberFormat="1" applyFont="1" applyFill="1" applyBorder="1" applyAlignment="1">
      <alignment horizontal="center" vertical="center" wrapText="1" readingOrder="1"/>
    </xf>
    <xf numFmtId="164" fontId="49" fillId="26" borderId="45" xfId="124" applyFont="1" applyFill="1" applyBorder="1" applyAlignment="1">
      <alignment horizontal="right" vertical="center" wrapText="1" readingOrder="1"/>
    </xf>
    <xf numFmtId="4" fontId="49" fillId="26" borderId="28" xfId="124" applyNumberFormat="1" applyFont="1" applyFill="1" applyBorder="1" applyAlignment="1">
      <alignment horizontal="right" vertical="center" wrapText="1" readingOrder="1"/>
    </xf>
    <xf numFmtId="4" fontId="49" fillId="26" borderId="26" xfId="124" applyNumberFormat="1" applyFont="1" applyFill="1" applyBorder="1" applyAlignment="1">
      <alignment horizontal="right" vertical="center" wrapText="1" readingOrder="1"/>
    </xf>
    <xf numFmtId="4" fontId="49" fillId="26" borderId="30" xfId="124" applyNumberFormat="1" applyFont="1" applyFill="1" applyBorder="1" applyAlignment="1">
      <alignment horizontal="right" vertical="center" wrapText="1" readingOrder="1"/>
    </xf>
    <xf numFmtId="4" fontId="49" fillId="26" borderId="38" xfId="124" applyNumberFormat="1" applyFont="1" applyFill="1" applyBorder="1" applyAlignment="1">
      <alignment horizontal="right" vertical="center" wrapText="1" readingOrder="1"/>
    </xf>
    <xf numFmtId="0" fontId="50" fillId="26" borderId="26" xfId="0" applyNumberFormat="1" applyFont="1" applyFill="1" applyBorder="1" applyAlignment="1">
      <alignment vertical="center" wrapText="1" readingOrder="1"/>
    </xf>
    <xf numFmtId="4" fontId="47" fillId="26" borderId="0" xfId="0" applyFont="1" applyFill="1" applyBorder="1" applyAlignment="1">
      <alignment vertical="center" wrapText="1" readingOrder="1"/>
    </xf>
    <xf numFmtId="4" fontId="47" fillId="26" borderId="0" xfId="0" applyNumberFormat="1" applyFont="1" applyFill="1" applyBorder="1" applyAlignment="1">
      <alignment vertical="center" readingOrder="1"/>
    </xf>
    <xf numFmtId="4" fontId="47" fillId="26" borderId="24" xfId="0" applyFont="1" applyFill="1" applyBorder="1" applyAlignment="1">
      <alignment vertical="center" readingOrder="1"/>
    </xf>
    <xf numFmtId="4" fontId="47" fillId="26" borderId="25" xfId="0" applyFont="1" applyFill="1" applyBorder="1" applyAlignment="1">
      <alignment vertical="center" readingOrder="1"/>
    </xf>
    <xf numFmtId="4" fontId="47" fillId="26" borderId="25" xfId="0" applyFont="1" applyFill="1" applyBorder="1" applyAlignment="1">
      <alignment vertical="center" wrapText="1" readingOrder="1"/>
    </xf>
    <xf numFmtId="4" fontId="47" fillId="26" borderId="25" xfId="0" applyNumberFormat="1" applyFont="1" applyFill="1" applyBorder="1" applyAlignment="1">
      <alignment vertical="center" readingOrder="1"/>
    </xf>
    <xf numFmtId="4" fontId="47" fillId="26" borderId="27" xfId="0" applyFont="1" applyFill="1" applyBorder="1" applyAlignment="1">
      <alignment vertical="center" readingOrder="1"/>
    </xf>
    <xf numFmtId="4" fontId="47" fillId="26" borderId="0" xfId="0" applyFont="1" applyFill="1" applyBorder="1" applyAlignment="1">
      <alignment horizontal="center" vertical="center" readingOrder="1"/>
    </xf>
    <xf numFmtId="4" fontId="50" fillId="26" borderId="0" xfId="0" applyFont="1" applyFill="1" applyBorder="1" applyAlignment="1">
      <alignment vertical="center" wrapText="1" readingOrder="1"/>
    </xf>
    <xf numFmtId="4" fontId="49" fillId="26" borderId="33" xfId="0" applyFont="1" applyFill="1" applyBorder="1" applyAlignment="1">
      <alignment vertical="center" readingOrder="1"/>
    </xf>
    <xf numFmtId="4" fontId="49" fillId="26" borderId="46" xfId="0" applyFont="1" applyFill="1" applyBorder="1" applyAlignment="1">
      <alignment horizontal="left" vertical="center" wrapText="1" readingOrder="1"/>
    </xf>
    <xf numFmtId="4" fontId="49" fillId="26" borderId="35" xfId="0" applyFont="1" applyFill="1" applyBorder="1" applyAlignment="1">
      <alignment horizontal="left" vertical="center" wrapText="1" readingOrder="1"/>
    </xf>
    <xf numFmtId="4" fontId="49" fillId="26" borderId="35" xfId="0" applyFont="1" applyFill="1" applyBorder="1" applyAlignment="1">
      <alignment vertical="center" readingOrder="1"/>
    </xf>
    <xf numFmtId="164" fontId="49" fillId="26" borderId="35" xfId="124" applyFont="1" applyFill="1" applyBorder="1" applyAlignment="1">
      <alignment vertical="center" readingOrder="1"/>
    </xf>
    <xf numFmtId="4" fontId="50" fillId="26" borderId="23" xfId="0" applyFont="1" applyFill="1" applyBorder="1" applyAlignment="1">
      <alignment horizontal="center" vertical="center" wrapText="1" readingOrder="1"/>
    </xf>
    <xf numFmtId="4" fontId="49" fillId="26" borderId="14" xfId="0" applyFont="1" applyFill="1" applyBorder="1" applyAlignment="1">
      <alignment vertical="center" readingOrder="1"/>
    </xf>
    <xf numFmtId="4" fontId="49" fillId="26" borderId="43" xfId="0" applyFont="1" applyFill="1" applyBorder="1" applyAlignment="1">
      <alignment vertical="center" readingOrder="1"/>
    </xf>
    <xf numFmtId="4" fontId="49" fillId="26" borderId="38" xfId="0" applyFont="1" applyFill="1" applyBorder="1" applyAlignment="1">
      <alignment vertical="center" readingOrder="1"/>
    </xf>
    <xf numFmtId="10" fontId="49" fillId="26" borderId="43" xfId="0" applyNumberFormat="1" applyFont="1" applyFill="1" applyBorder="1" applyAlignment="1">
      <alignment vertical="center" readingOrder="1"/>
    </xf>
    <xf numFmtId="4" fontId="49" fillId="26" borderId="21" xfId="0" applyFont="1" applyFill="1" applyBorder="1" applyAlignment="1">
      <alignment vertical="center" readingOrder="1"/>
    </xf>
    <xf numFmtId="4" fontId="49" fillId="26" borderId="0" xfId="0" applyFont="1" applyFill="1" applyBorder="1" applyAlignment="1">
      <alignment horizontal="right" vertical="center" readingOrder="1"/>
    </xf>
    <xf numFmtId="4" fontId="51" fillId="26" borderId="0" xfId="0" applyFont="1" applyFill="1" applyBorder="1" applyAlignment="1">
      <alignment vertical="center" readingOrder="1"/>
    </xf>
    <xf numFmtId="164" fontId="51" fillId="26" borderId="0" xfId="124" applyFont="1" applyFill="1" applyBorder="1" applyAlignment="1">
      <alignment vertical="center" readingOrder="1"/>
    </xf>
    <xf numFmtId="3" fontId="49" fillId="26" borderId="27" xfId="0" applyNumberFormat="1" applyFont="1" applyFill="1" applyBorder="1" applyAlignment="1">
      <alignment horizontal="left" vertical="center" readingOrder="1"/>
    </xf>
    <xf numFmtId="4" fontId="52" fillId="26" borderId="13" xfId="0" applyNumberFormat="1" applyFont="1" applyFill="1" applyBorder="1" applyAlignment="1">
      <alignment horizontal="center" vertical="center" readingOrder="1"/>
    </xf>
    <xf numFmtId="4" fontId="52" fillId="26" borderId="13" xfId="0" applyNumberFormat="1" applyFont="1" applyFill="1" applyBorder="1" applyAlignment="1">
      <alignment horizontal="center" vertical="center" wrapText="1" readingOrder="1"/>
    </xf>
    <xf numFmtId="4" fontId="47" fillId="26" borderId="26" xfId="0" applyNumberFormat="1" applyFont="1" applyFill="1" applyBorder="1" applyAlignment="1">
      <alignment vertical="center" readingOrder="1"/>
    </xf>
    <xf numFmtId="4" fontId="47" fillId="26" borderId="28" xfId="0" applyNumberFormat="1" applyFont="1" applyFill="1" applyBorder="1" applyAlignment="1">
      <alignment vertical="center" readingOrder="1"/>
    </xf>
    <xf numFmtId="4" fontId="49" fillId="26" borderId="28" xfId="0" applyFont="1" applyFill="1" applyBorder="1" applyAlignment="1">
      <alignment horizontal="center" vertical="center" readingOrder="1"/>
    </xf>
    <xf numFmtId="4" fontId="49" fillId="26" borderId="47" xfId="0" applyFont="1" applyFill="1" applyBorder="1" applyAlignment="1">
      <alignment horizontal="center" vertical="center" readingOrder="1"/>
    </xf>
    <xf numFmtId="4" fontId="49" fillId="26" borderId="48" xfId="0" applyFont="1" applyFill="1" applyBorder="1" applyAlignment="1">
      <alignment horizontal="center" vertical="center" readingOrder="1"/>
    </xf>
    <xf numFmtId="3" fontId="49" fillId="26" borderId="26" xfId="0" applyNumberFormat="1" applyFont="1" applyFill="1" applyBorder="1" applyAlignment="1">
      <alignment horizontal="left" vertical="center" readingOrder="1"/>
    </xf>
    <xf numFmtId="4" fontId="49" fillId="26" borderId="28" xfId="0" applyFont="1" applyFill="1" applyBorder="1" applyAlignment="1">
      <alignment vertical="center" readingOrder="1"/>
    </xf>
    <xf numFmtId="4" fontId="49" fillId="26" borderId="30" xfId="0" applyFont="1" applyFill="1" applyBorder="1" applyAlignment="1">
      <alignment vertical="center" readingOrder="1"/>
    </xf>
    <xf numFmtId="0" fontId="50" fillId="27" borderId="22" xfId="0" applyNumberFormat="1" applyFont="1" applyFill="1" applyBorder="1" applyAlignment="1">
      <alignment horizontal="center" vertical="center" wrapText="1" readingOrder="1"/>
    </xf>
    <xf numFmtId="4" fontId="49" fillId="0" borderId="0" xfId="0" applyFont="1" applyBorder="1" applyAlignment="1">
      <alignment horizontal="right" vertical="center"/>
    </xf>
    <xf numFmtId="4" fontId="49" fillId="0" borderId="0" xfId="0" applyNumberFormat="1" applyFont="1" applyFill="1" applyBorder="1" applyAlignment="1">
      <alignment horizontal="right" vertical="center"/>
    </xf>
    <xf numFmtId="4" fontId="49" fillId="0" borderId="0" xfId="0" applyNumberFormat="1" applyFont="1" applyFill="1" applyBorder="1" applyAlignment="1">
      <alignment vertical="center"/>
    </xf>
    <xf numFmtId="4" fontId="49" fillId="0" borderId="25" xfId="0" applyNumberFormat="1" applyFont="1" applyFill="1" applyBorder="1" applyAlignment="1">
      <alignment horizontal="right" vertical="center"/>
    </xf>
    <xf numFmtId="4" fontId="49" fillId="0" borderId="0" xfId="0" applyFont="1" applyBorder="1" applyAlignment="1">
      <alignment horizontal="left" vertical="center"/>
    </xf>
    <xf numFmtId="0" fontId="50" fillId="26" borderId="0" xfId="0" applyNumberFormat="1" applyFont="1" applyFill="1" applyBorder="1" applyAlignment="1">
      <alignment vertical="distributed"/>
    </xf>
    <xf numFmtId="4" fontId="50" fillId="0" borderId="0" xfId="0" applyFont="1" applyBorder="1" applyAlignment="1">
      <alignment horizontal="left" vertical="center"/>
    </xf>
    <xf numFmtId="4" fontId="49" fillId="0" borderId="0" xfId="0" applyNumberFormat="1" applyFont="1" applyFill="1" applyBorder="1" applyAlignment="1">
      <alignment horizontal="center" vertical="center"/>
    </xf>
    <xf numFmtId="4" fontId="49" fillId="0" borderId="25" xfId="0" applyNumberFormat="1" applyFont="1" applyFill="1" applyBorder="1" applyAlignment="1">
      <alignment horizontal="center" vertical="center"/>
    </xf>
    <xf numFmtId="3" fontId="49" fillId="0" borderId="37" xfId="0" applyNumberFormat="1" applyFont="1" applyFill="1" applyBorder="1" applyAlignment="1">
      <alignment horizontal="center" vertical="center" wrapText="1" readingOrder="1"/>
    </xf>
    <xf numFmtId="49" fontId="49" fillId="26" borderId="37"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0" fontId="49" fillId="26" borderId="25"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0" fontId="49" fillId="26" borderId="25" xfId="0" applyNumberFormat="1" applyFont="1" applyFill="1" applyBorder="1" applyAlignment="1">
      <alignment horizontal="center" vertical="center" wrapText="1" readingOrder="1"/>
    </xf>
    <xf numFmtId="0" fontId="49" fillId="26" borderId="29" xfId="0" applyNumberFormat="1" applyFont="1" applyFill="1" applyBorder="1" applyAlignment="1">
      <alignment horizontal="center" vertical="center" wrapText="1" readingOrder="1"/>
    </xf>
    <xf numFmtId="0" fontId="49" fillId="26" borderId="29" xfId="0" applyNumberFormat="1" applyFont="1" applyFill="1" applyBorder="1" applyAlignment="1">
      <alignment vertical="center" wrapText="1" readingOrder="1"/>
    </xf>
    <xf numFmtId="0" fontId="49" fillId="26" borderId="29" xfId="0" applyNumberFormat="1" applyFont="1" applyFill="1" applyBorder="1" applyAlignment="1">
      <alignment vertical="center" wrapText="1" readingOrder="1"/>
    </xf>
    <xf numFmtId="0" fontId="63" fillId="0" borderId="39" xfId="0" applyNumberFormat="1" applyFont="1" applyBorder="1" applyAlignment="1">
      <alignment horizontal="center" vertical="center" wrapText="1"/>
    </xf>
    <xf numFmtId="10" fontId="50" fillId="26" borderId="23" xfId="0" applyNumberFormat="1" applyFont="1" applyFill="1" applyBorder="1" applyAlignment="1">
      <alignment horizontal="center" vertical="center" wrapText="1" readingOrder="1"/>
    </xf>
    <xf numFmtId="4" fontId="49" fillId="26" borderId="37" xfId="0" applyFont="1" applyFill="1" applyBorder="1" applyAlignment="1">
      <alignment vertical="center" readingOrder="1"/>
    </xf>
    <xf numFmtId="164" fontId="49" fillId="26" borderId="37" xfId="124" applyFont="1" applyFill="1" applyBorder="1" applyAlignment="1">
      <alignment vertical="center" readingOrder="1"/>
    </xf>
    <xf numFmtId="4" fontId="49" fillId="26" borderId="37" xfId="0" applyFont="1" applyFill="1" applyBorder="1" applyAlignment="1">
      <alignment horizontal="left" vertical="center" readingOrder="1"/>
    </xf>
    <xf numFmtId="4" fontId="49" fillId="26" borderId="37" xfId="0" applyFont="1" applyFill="1" applyBorder="1" applyAlignment="1">
      <alignment horizontal="center" vertical="center" readingOrder="1"/>
    </xf>
    <xf numFmtId="4" fontId="49" fillId="26" borderId="23" xfId="0" applyFont="1" applyFill="1" applyBorder="1" applyAlignment="1">
      <alignment vertical="center" readingOrder="1"/>
    </xf>
    <xf numFmtId="164" fontId="49" fillId="26" borderId="23" xfId="124" applyFont="1" applyFill="1" applyBorder="1" applyAlignment="1">
      <alignment vertical="center" readingOrder="1"/>
    </xf>
    <xf numFmtId="49" fontId="49" fillId="26" borderId="23" xfId="0" applyNumberFormat="1" applyFont="1" applyFill="1" applyBorder="1" applyAlignment="1">
      <alignment vertical="center" readingOrder="1"/>
    </xf>
    <xf numFmtId="4" fontId="49" fillId="26" borderId="23" xfId="0" applyFont="1" applyFill="1" applyBorder="1" applyAlignment="1">
      <alignment horizontal="center" vertical="center" readingOrder="1"/>
    </xf>
    <xf numFmtId="0" fontId="53" fillId="0" borderId="39" xfId="130" applyNumberFormat="1" applyFont="1" applyBorder="1" applyAlignment="1">
      <alignment horizontal="right" vertical="center"/>
    </xf>
    <xf numFmtId="0" fontId="49" fillId="26" borderId="25" xfId="0" applyNumberFormat="1" applyFont="1" applyFill="1" applyBorder="1" applyAlignment="1">
      <alignment vertical="center" wrapText="1" readingOrder="1"/>
    </xf>
    <xf numFmtId="0" fontId="49" fillId="26" borderId="0"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0" fontId="50" fillId="26" borderId="13" xfId="0" applyNumberFormat="1" applyFont="1" applyFill="1" applyBorder="1" applyAlignment="1">
      <alignment horizontal="center" vertical="center" wrapText="1" readingOrder="1"/>
    </xf>
    <xf numFmtId="0" fontId="49" fillId="26" borderId="43" xfId="0" applyNumberFormat="1" applyFont="1" applyFill="1" applyBorder="1" applyAlignment="1">
      <alignment vertical="center" wrapText="1" readingOrder="1"/>
    </xf>
    <xf numFmtId="0" fontId="60" fillId="26" borderId="13" xfId="0" applyNumberFormat="1" applyFont="1" applyFill="1" applyBorder="1" applyAlignment="1">
      <alignment horizontal="center" vertical="center" wrapText="1" readingOrder="1"/>
    </xf>
    <xf numFmtId="0" fontId="49" fillId="26" borderId="43"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left" vertical="center" wrapText="1" readingOrder="1"/>
    </xf>
    <xf numFmtId="0" fontId="49" fillId="26" borderId="25" xfId="0" applyNumberFormat="1" applyFont="1" applyFill="1" applyBorder="1" applyAlignment="1">
      <alignment horizontal="center" vertical="center" wrapText="1" readingOrder="1"/>
    </xf>
    <xf numFmtId="0" fontId="49" fillId="26" borderId="29" xfId="0" applyNumberFormat="1" applyFont="1" applyFill="1" applyBorder="1" applyAlignment="1">
      <alignment horizontal="center" vertical="center" wrapText="1" readingOrder="1"/>
    </xf>
    <xf numFmtId="0" fontId="59" fillId="26" borderId="0" xfId="0" applyNumberFormat="1" applyFont="1" applyFill="1" applyBorder="1" applyAlignment="1">
      <alignment horizontal="center" vertical="center" wrapText="1" readingOrder="1"/>
    </xf>
    <xf numFmtId="0" fontId="59" fillId="26" borderId="0" xfId="0" applyNumberFormat="1" applyFont="1" applyFill="1" applyBorder="1" applyAlignment="1">
      <alignment horizontal="left" vertical="center" wrapText="1" readingOrder="1"/>
    </xf>
    <xf numFmtId="0" fontId="50" fillId="26" borderId="0" xfId="0" applyNumberFormat="1" applyFont="1" applyFill="1" applyBorder="1" applyAlignment="1">
      <alignment horizontal="center" vertical="center" wrapText="1" readingOrder="1"/>
    </xf>
    <xf numFmtId="0" fontId="59" fillId="26" borderId="0" xfId="0" applyNumberFormat="1" applyFont="1" applyFill="1" applyBorder="1" applyAlignment="1">
      <alignment vertical="center" wrapText="1" readingOrder="1"/>
    </xf>
    <xf numFmtId="4" fontId="49" fillId="26" borderId="21" xfId="0" applyNumberFormat="1" applyFont="1" applyFill="1" applyBorder="1" applyAlignment="1">
      <alignment horizontal="center" vertical="center" wrapText="1" readingOrder="1"/>
    </xf>
    <xf numFmtId="4" fontId="49" fillId="26" borderId="29" xfId="0" applyNumberFormat="1" applyFont="1" applyFill="1" applyBorder="1" applyAlignment="1">
      <alignment horizontal="center" vertical="center" wrapText="1" readingOrder="1"/>
    </xf>
    <xf numFmtId="4" fontId="49" fillId="26" borderId="29" xfId="0" applyFont="1" applyFill="1" applyBorder="1" applyAlignment="1">
      <alignment vertical="center" readingOrder="1"/>
    </xf>
    <xf numFmtId="0" fontId="25" fillId="24" borderId="0" xfId="105" applyFont="1" applyFill="1" applyBorder="1" applyAlignment="1">
      <alignment horizontal="center"/>
    </xf>
    <xf numFmtId="167" fontId="47" fillId="0" borderId="0" xfId="0" applyNumberFormat="1" applyFont="1" applyFill="1" applyBorder="1" applyAlignment="1">
      <alignment vertical="center" readingOrder="1"/>
    </xf>
    <xf numFmtId="2" fontId="49" fillId="26" borderId="25"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right" vertical="center" readingOrder="1"/>
    </xf>
    <xf numFmtId="0" fontId="49" fillId="26" borderId="0" xfId="0" applyNumberFormat="1" applyFont="1" applyFill="1" applyBorder="1" applyAlignment="1">
      <alignment horizontal="center" vertical="center" wrapText="1" readingOrder="1"/>
    </xf>
    <xf numFmtId="4" fontId="49" fillId="26" borderId="29" xfId="0" applyNumberFormat="1" applyFont="1" applyFill="1" applyBorder="1" applyAlignment="1">
      <alignment horizontal="center" vertical="center" wrapText="1" readingOrder="1"/>
    </xf>
    <xf numFmtId="0" fontId="49" fillId="26" borderId="27"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0" fontId="49" fillId="26" borderId="29" xfId="0" applyNumberFormat="1" applyFont="1" applyFill="1" applyBorder="1" applyAlignment="1">
      <alignment horizontal="center" vertical="center" wrapText="1" readingOrder="1"/>
    </xf>
    <xf numFmtId="0" fontId="49" fillId="26" borderId="25" xfId="0" applyNumberFormat="1" applyFont="1" applyFill="1" applyBorder="1" applyAlignment="1">
      <alignment horizontal="center" vertical="center" wrapText="1" readingOrder="1"/>
    </xf>
    <xf numFmtId="0" fontId="49" fillId="26" borderId="25" xfId="0" applyNumberFormat="1" applyFont="1" applyFill="1" applyBorder="1" applyAlignment="1">
      <alignment vertical="center" wrapText="1" readingOrder="1"/>
    </xf>
    <xf numFmtId="170" fontId="29" fillId="24" borderId="38" xfId="104" applyNumberFormat="1" applyFont="1" applyFill="1" applyBorder="1" applyAlignment="1">
      <alignment horizontal="center" vertical="center" wrapText="1"/>
    </xf>
    <xf numFmtId="164" fontId="49" fillId="26" borderId="39" xfId="124" applyFont="1" applyFill="1" applyBorder="1" applyAlignment="1">
      <alignment horizontal="right" vertical="center" readingOrder="1"/>
    </xf>
    <xf numFmtId="43" fontId="49" fillId="0" borderId="39" xfId="124" applyNumberFormat="1" applyFont="1" applyFill="1" applyBorder="1" applyAlignment="1">
      <alignment vertical="center" readingOrder="1"/>
    </xf>
    <xf numFmtId="49" fontId="49" fillId="26" borderId="13" xfId="0" applyNumberFormat="1" applyFont="1" applyFill="1" applyBorder="1" applyAlignment="1">
      <alignment horizontal="center" vertical="center" wrapText="1" readingOrder="1"/>
    </xf>
    <xf numFmtId="49" fontId="49" fillId="26" borderId="42" xfId="0" applyNumberFormat="1" applyFont="1" applyFill="1" applyBorder="1" applyAlignment="1">
      <alignment horizontal="center" vertical="center" wrapText="1" readingOrder="1"/>
    </xf>
    <xf numFmtId="4" fontId="50" fillId="26" borderId="0" xfId="0" applyNumberFormat="1" applyFont="1" applyFill="1" applyBorder="1" applyAlignment="1">
      <alignment horizontal="center" vertical="distributed"/>
    </xf>
    <xf numFmtId="0" fontId="49" fillId="26" borderId="29" xfId="0" applyNumberFormat="1" applyFont="1" applyFill="1" applyBorder="1" applyAlignment="1">
      <alignment horizontal="left" vertical="distributed"/>
    </xf>
    <xf numFmtId="4" fontId="49" fillId="26" borderId="29" xfId="0" applyNumberFormat="1" applyFont="1" applyFill="1" applyBorder="1" applyAlignment="1">
      <alignment horizontal="center" vertical="distributed"/>
    </xf>
    <xf numFmtId="0" fontId="65" fillId="26" borderId="0" xfId="0" applyNumberFormat="1" applyFont="1" applyFill="1" applyBorder="1" applyAlignment="1">
      <alignment vertical="distributed"/>
    </xf>
    <xf numFmtId="0" fontId="64" fillId="26" borderId="0" xfId="0" applyNumberFormat="1" applyFont="1" applyFill="1" applyBorder="1" applyAlignment="1">
      <alignment vertical="distributed"/>
    </xf>
    <xf numFmtId="4" fontId="65" fillId="26" borderId="0" xfId="0" applyNumberFormat="1" applyFont="1" applyFill="1" applyBorder="1" applyAlignment="1">
      <alignment horizontal="center" vertical="distributed"/>
    </xf>
    <xf numFmtId="4" fontId="64" fillId="26" borderId="0" xfId="0" applyNumberFormat="1" applyFont="1" applyFill="1" applyBorder="1" applyAlignment="1">
      <alignment horizontal="center" vertical="distributed"/>
    </xf>
    <xf numFmtId="0" fontId="65" fillId="26" borderId="0" xfId="0" applyNumberFormat="1" applyFont="1" applyFill="1" applyBorder="1" applyAlignment="1">
      <alignment horizontal="left" vertical="distributed"/>
    </xf>
    <xf numFmtId="4" fontId="65" fillId="26" borderId="25" xfId="0" applyNumberFormat="1" applyFont="1" applyFill="1" applyBorder="1" applyAlignment="1">
      <alignment horizontal="center" vertical="distributed"/>
    </xf>
    <xf numFmtId="0" fontId="66" fillId="0" borderId="0" xfId="0" applyNumberFormat="1" applyFont="1" applyFill="1" applyBorder="1" applyAlignment="1">
      <alignment vertical="center" readingOrder="1"/>
    </xf>
    <xf numFmtId="0" fontId="65" fillId="26" borderId="0" xfId="0" applyNumberFormat="1" applyFont="1" applyFill="1" applyBorder="1" applyAlignment="1">
      <alignment horizontal="center" vertical="center" wrapText="1" readingOrder="1"/>
    </xf>
    <xf numFmtId="0" fontId="65" fillId="26" borderId="0" xfId="0" applyNumberFormat="1" applyFont="1" applyFill="1" applyBorder="1" applyAlignment="1">
      <alignment vertical="center" wrapText="1" readingOrder="1"/>
    </xf>
    <xf numFmtId="4" fontId="49" fillId="0" borderId="13" xfId="0" applyNumberFormat="1" applyFont="1" applyFill="1" applyBorder="1" applyAlignment="1">
      <alignment horizontal="right" vertical="center"/>
    </xf>
    <xf numFmtId="164" fontId="49" fillId="26" borderId="42" xfId="124" applyFont="1" applyFill="1" applyBorder="1" applyAlignment="1">
      <alignment horizontal="right" vertical="center" wrapText="1" readingOrder="1"/>
    </xf>
    <xf numFmtId="49" fontId="49" fillId="26" borderId="0" xfId="0" applyNumberFormat="1" applyFont="1" applyFill="1" applyBorder="1" applyAlignment="1">
      <alignment horizontal="center" vertical="center" wrapText="1" readingOrder="1"/>
    </xf>
    <xf numFmtId="49" fontId="49" fillId="26" borderId="29" xfId="0" applyNumberFormat="1" applyFont="1" applyFill="1" applyBorder="1" applyAlignment="1">
      <alignment horizontal="center" vertical="center" wrapText="1" readingOrder="1"/>
    </xf>
    <xf numFmtId="49" fontId="49" fillId="27" borderId="14" xfId="0" applyNumberFormat="1" applyFont="1" applyFill="1" applyBorder="1" applyAlignment="1">
      <alignment horizontal="center" vertical="center" wrapText="1" readingOrder="1"/>
    </xf>
    <xf numFmtId="164" fontId="49" fillId="27" borderId="43" xfId="124" applyFont="1" applyFill="1" applyBorder="1" applyAlignment="1">
      <alignment horizontal="center" vertical="center" wrapText="1" readingOrder="1"/>
    </xf>
    <xf numFmtId="4" fontId="49" fillId="27" borderId="38" xfId="0" applyNumberFormat="1" applyFont="1" applyFill="1" applyBorder="1" applyAlignment="1">
      <alignment vertical="center" readingOrder="1"/>
    </xf>
    <xf numFmtId="0" fontId="29" fillId="0" borderId="53" xfId="104" applyNumberFormat="1" applyFont="1" applyFill="1" applyBorder="1" applyAlignment="1">
      <alignment horizontal="center" vertical="center" wrapText="1"/>
    </xf>
    <xf numFmtId="10" fontId="3" fillId="25" borderId="0" xfId="104" applyNumberFormat="1" applyFill="1" applyAlignment="1">
      <alignment vertical="center"/>
    </xf>
    <xf numFmtId="49" fontId="49" fillId="0" borderId="14" xfId="0" applyNumberFormat="1" applyFont="1" applyFill="1" applyBorder="1" applyAlignment="1">
      <alignment horizontal="left" vertical="center" wrapText="1" readingOrder="1"/>
    </xf>
    <xf numFmtId="49" fontId="49" fillId="0" borderId="43" xfId="0" applyNumberFormat="1" applyFont="1" applyFill="1" applyBorder="1" applyAlignment="1">
      <alignment horizontal="left" vertical="center" wrapText="1" readingOrder="1"/>
    </xf>
    <xf numFmtId="49" fontId="49" fillId="0" borderId="38" xfId="0" applyNumberFormat="1" applyFont="1" applyFill="1" applyBorder="1" applyAlignment="1">
      <alignment horizontal="left" vertical="center" wrapText="1" readingOrder="1"/>
    </xf>
    <xf numFmtId="0" fontId="49" fillId="0" borderId="13" xfId="0" applyNumberFormat="1" applyFont="1" applyFill="1" applyBorder="1" applyAlignment="1">
      <alignment vertical="center" wrapText="1" readingOrder="1"/>
    </xf>
    <xf numFmtId="0" fontId="49" fillId="0" borderId="14" xfId="0" applyNumberFormat="1" applyFont="1" applyFill="1" applyBorder="1" applyAlignment="1">
      <alignment vertical="center" wrapText="1" readingOrder="1"/>
    </xf>
    <xf numFmtId="0" fontId="49" fillId="0" borderId="43" xfId="0" applyNumberFormat="1" applyFont="1" applyFill="1" applyBorder="1" applyAlignment="1">
      <alignment vertical="center" wrapText="1" readingOrder="1"/>
    </xf>
    <xf numFmtId="0" fontId="49" fillId="0" borderId="38" xfId="0" applyNumberFormat="1" applyFont="1" applyFill="1" applyBorder="1" applyAlignment="1">
      <alignment vertical="center" wrapText="1" readingOrder="1"/>
    </xf>
    <xf numFmtId="49" fontId="49" fillId="0" borderId="13" xfId="0" applyNumberFormat="1" applyFont="1" applyFill="1" applyBorder="1" applyAlignment="1">
      <alignment vertical="center" wrapText="1" readingOrder="1"/>
    </xf>
    <xf numFmtId="4" fontId="49" fillId="26" borderId="27" xfId="0" applyFont="1" applyFill="1" applyBorder="1" applyAlignment="1">
      <alignment horizontal="left" vertical="center" wrapText="1" readingOrder="1"/>
    </xf>
    <xf numFmtId="4" fontId="49" fillId="26" borderId="0" xfId="0" applyFont="1" applyFill="1" applyBorder="1" applyAlignment="1">
      <alignment horizontal="left" vertical="center" wrapText="1" readingOrder="1"/>
    </xf>
    <xf numFmtId="4" fontId="50" fillId="26" borderId="32" xfId="0" applyFont="1" applyFill="1" applyBorder="1" applyAlignment="1">
      <alignment horizontal="left" vertical="center" wrapText="1" readingOrder="1"/>
    </xf>
    <xf numFmtId="4" fontId="50" fillId="26" borderId="33" xfId="0" applyFont="1" applyFill="1" applyBorder="1" applyAlignment="1">
      <alignment horizontal="left" vertical="center" wrapText="1" readingOrder="1"/>
    </xf>
    <xf numFmtId="4" fontId="50" fillId="26" borderId="27" xfId="0" applyFont="1" applyFill="1" applyBorder="1" applyAlignment="1">
      <alignment horizontal="center" vertical="center" wrapText="1" readingOrder="1"/>
    </xf>
    <xf numFmtId="4" fontId="50" fillId="26" borderId="0" xfId="0" applyFont="1" applyFill="1" applyBorder="1" applyAlignment="1">
      <alignment horizontal="center" vertical="center" wrapText="1" readingOrder="1"/>
    </xf>
    <xf numFmtId="4" fontId="50" fillId="26" borderId="28" xfId="0" applyFont="1" applyFill="1" applyBorder="1" applyAlignment="1">
      <alignment horizontal="center" vertical="center" wrapText="1" readingOrder="1"/>
    </xf>
    <xf numFmtId="1" fontId="52" fillId="26" borderId="39" xfId="0" applyNumberFormat="1" applyFont="1" applyFill="1" applyBorder="1" applyAlignment="1">
      <alignment horizontal="center" vertical="center" wrapText="1" readingOrder="1"/>
    </xf>
    <xf numFmtId="1" fontId="52" fillId="26" borderId="37" xfId="0" applyNumberFormat="1" applyFont="1" applyFill="1" applyBorder="1" applyAlignment="1">
      <alignment horizontal="center" vertical="center" wrapText="1" readingOrder="1"/>
    </xf>
    <xf numFmtId="1" fontId="52" fillId="26" borderId="23" xfId="0" applyNumberFormat="1" applyFont="1" applyFill="1" applyBorder="1" applyAlignment="1">
      <alignment horizontal="center" vertical="center" wrapText="1" readingOrder="1"/>
    </xf>
    <xf numFmtId="4" fontId="49" fillId="26" borderId="37" xfId="0" applyFont="1" applyFill="1" applyBorder="1" applyAlignment="1">
      <alignment horizontal="center" vertical="center" readingOrder="1"/>
    </xf>
    <xf numFmtId="4" fontId="52" fillId="0" borderId="24" xfId="0" applyFont="1" applyFill="1" applyBorder="1" applyAlignment="1">
      <alignment horizontal="center" vertical="center" wrapText="1" readingOrder="1"/>
    </xf>
    <xf numFmtId="4" fontId="52" fillId="0" borderId="25" xfId="0" applyFont="1" applyFill="1" applyBorder="1" applyAlignment="1">
      <alignment horizontal="center" vertical="center" wrapText="1" readingOrder="1"/>
    </xf>
    <xf numFmtId="4" fontId="52" fillId="0" borderId="26" xfId="0" applyFont="1" applyFill="1" applyBorder="1" applyAlignment="1">
      <alignment horizontal="center" vertical="center" wrapText="1" readingOrder="1"/>
    </xf>
    <xf numFmtId="164" fontId="49" fillId="26" borderId="0" xfId="124" applyFont="1" applyFill="1" applyBorder="1" applyAlignment="1">
      <alignment horizontal="center" vertical="center" readingOrder="1"/>
    </xf>
    <xf numFmtId="4" fontId="52" fillId="26" borderId="14" xfId="0" applyNumberFormat="1" applyFont="1" applyFill="1" applyBorder="1" applyAlignment="1">
      <alignment horizontal="center" vertical="center" readingOrder="1"/>
    </xf>
    <xf numFmtId="4" fontId="52" fillId="26" borderId="43" xfId="0" applyNumberFormat="1" applyFont="1" applyFill="1" applyBorder="1" applyAlignment="1">
      <alignment horizontal="center" vertical="center" readingOrder="1"/>
    </xf>
    <xf numFmtId="4" fontId="52" fillId="26" borderId="38" xfId="0" applyNumberFormat="1" applyFont="1" applyFill="1" applyBorder="1" applyAlignment="1">
      <alignment horizontal="center" vertical="center" readingOrder="1"/>
    </xf>
    <xf numFmtId="1" fontId="52" fillId="26" borderId="13" xfId="0" applyNumberFormat="1" applyFont="1" applyFill="1" applyBorder="1" applyAlignment="1">
      <alignment horizontal="center" vertical="center" wrapText="1" readingOrder="1"/>
    </xf>
    <xf numFmtId="4" fontId="49" fillId="26" borderId="27" xfId="0" applyFont="1" applyFill="1" applyBorder="1" applyAlignment="1">
      <alignment horizontal="center" vertical="center" wrapText="1" readingOrder="1"/>
    </xf>
    <xf numFmtId="4" fontId="49" fillId="26" borderId="0" xfId="0" applyFont="1" applyFill="1" applyBorder="1" applyAlignment="1">
      <alignment horizontal="center" vertical="center" wrapText="1" readingOrder="1"/>
    </xf>
    <xf numFmtId="4" fontId="49" fillId="26" borderId="21" xfId="0" applyFont="1" applyFill="1" applyBorder="1" applyAlignment="1">
      <alignment horizontal="center" vertical="center" wrapText="1" readingOrder="1"/>
    </xf>
    <xf numFmtId="4" fontId="49" fillId="26" borderId="29" xfId="0" applyFont="1" applyFill="1" applyBorder="1" applyAlignment="1">
      <alignment horizontal="center" vertical="center" wrapText="1" readingOrder="1"/>
    </xf>
    <xf numFmtId="0" fontId="49" fillId="0" borderId="37" xfId="0" applyNumberFormat="1" applyFont="1" applyFill="1" applyBorder="1" applyAlignment="1">
      <alignment vertical="center" wrapText="1" readingOrder="1"/>
    </xf>
    <xf numFmtId="10" fontId="50" fillId="0" borderId="0" xfId="0" applyNumberFormat="1" applyFont="1" applyFill="1" applyBorder="1" applyAlignment="1">
      <alignment horizontal="center" vertical="center" readingOrder="1"/>
    </xf>
    <xf numFmtId="4" fontId="50" fillId="26" borderId="21" xfId="0" applyFont="1" applyFill="1" applyBorder="1" applyAlignment="1">
      <alignment horizontal="center" vertical="center" wrapText="1" readingOrder="1"/>
    </xf>
    <xf numFmtId="4" fontId="50" fillId="26" borderId="29" xfId="0" applyFont="1" applyFill="1" applyBorder="1" applyAlignment="1">
      <alignment horizontal="center" vertical="center" wrapText="1" readingOrder="1"/>
    </xf>
    <xf numFmtId="4" fontId="50" fillId="26" borderId="30" xfId="0" applyFont="1" applyFill="1" applyBorder="1" applyAlignment="1">
      <alignment horizontal="center" vertical="center" wrapText="1" readingOrder="1"/>
    </xf>
    <xf numFmtId="1" fontId="52" fillId="26" borderId="25" xfId="0" applyNumberFormat="1" applyFont="1" applyFill="1" applyBorder="1" applyAlignment="1">
      <alignment horizontal="center" vertical="center" wrapText="1" readingOrder="1"/>
    </xf>
    <xf numFmtId="1" fontId="52" fillId="26" borderId="0" xfId="0" applyNumberFormat="1" applyFont="1" applyFill="1" applyBorder="1" applyAlignment="1">
      <alignment horizontal="center" vertical="center" wrapText="1" readingOrder="1"/>
    </xf>
    <xf numFmtId="1" fontId="52" fillId="26" borderId="29" xfId="0" applyNumberFormat="1" applyFont="1" applyFill="1" applyBorder="1" applyAlignment="1">
      <alignment horizontal="center" vertical="center" wrapText="1" readingOrder="1"/>
    </xf>
    <xf numFmtId="4" fontId="49" fillId="26" borderId="27" xfId="0" applyFont="1" applyFill="1" applyBorder="1" applyAlignment="1">
      <alignment horizontal="center" vertical="center" readingOrder="1"/>
    </xf>
    <xf numFmtId="4" fontId="49" fillId="26" borderId="0" xfId="0" applyFont="1" applyFill="1" applyBorder="1" applyAlignment="1">
      <alignment horizontal="center" vertical="center" readingOrder="1"/>
    </xf>
    <xf numFmtId="4" fontId="49" fillId="26" borderId="28" xfId="0" applyFont="1" applyFill="1" applyBorder="1" applyAlignment="1">
      <alignment horizontal="center" vertical="center" readingOrder="1"/>
    </xf>
    <xf numFmtId="4" fontId="52" fillId="26" borderId="21" xfId="0" applyNumberFormat="1" applyFont="1" applyFill="1" applyBorder="1" applyAlignment="1">
      <alignment horizontal="center" vertical="center" readingOrder="1"/>
    </xf>
    <xf numFmtId="4" fontId="52" fillId="26" borderId="29" xfId="0" applyNumberFormat="1" applyFont="1" applyFill="1" applyBorder="1" applyAlignment="1">
      <alignment horizontal="center" vertical="center" readingOrder="1"/>
    </xf>
    <xf numFmtId="4" fontId="49" fillId="26" borderId="27" xfId="0" applyFont="1" applyFill="1" applyBorder="1" applyAlignment="1">
      <alignment horizontal="left" vertical="center" readingOrder="1"/>
    </xf>
    <xf numFmtId="4" fontId="49" fillId="26" borderId="0" xfId="0" applyFont="1" applyFill="1" applyBorder="1" applyAlignment="1">
      <alignment horizontal="left" vertical="center" readingOrder="1"/>
    </xf>
    <xf numFmtId="164" fontId="52" fillId="26" borderId="13" xfId="124" applyFont="1" applyFill="1" applyBorder="1" applyAlignment="1" applyProtection="1">
      <alignment horizontal="center" vertical="center" wrapText="1" readingOrder="1"/>
      <protection locked="0"/>
    </xf>
    <xf numFmtId="49" fontId="50" fillId="27" borderId="14" xfId="0" applyNumberFormat="1" applyFont="1" applyFill="1" applyBorder="1" applyAlignment="1">
      <alignment horizontal="left" vertical="center" wrapText="1" readingOrder="1"/>
    </xf>
    <xf numFmtId="49" fontId="50" fillId="27" borderId="43" xfId="0" applyNumberFormat="1" applyFont="1" applyFill="1" applyBorder="1" applyAlignment="1">
      <alignment horizontal="left" vertical="center" wrapText="1" readingOrder="1"/>
    </xf>
    <xf numFmtId="49" fontId="50" fillId="27" borderId="38" xfId="0" applyNumberFormat="1" applyFont="1" applyFill="1" applyBorder="1" applyAlignment="1">
      <alignment horizontal="left" vertical="center" wrapText="1" readingOrder="1"/>
    </xf>
    <xf numFmtId="0" fontId="49" fillId="0" borderId="21" xfId="0" applyNumberFormat="1" applyFont="1" applyFill="1" applyBorder="1" applyAlignment="1">
      <alignment vertical="center" wrapText="1" readingOrder="1"/>
    </xf>
    <xf numFmtId="0" fontId="49" fillId="0" borderId="29" xfId="0" applyNumberFormat="1" applyFont="1" applyFill="1" applyBorder="1" applyAlignment="1">
      <alignment vertical="center" wrapText="1" readingOrder="1"/>
    </xf>
    <xf numFmtId="0" fontId="49" fillId="0" borderId="30" xfId="0" applyNumberFormat="1" applyFont="1" applyFill="1" applyBorder="1" applyAlignment="1">
      <alignment vertical="center" wrapText="1" readingOrder="1"/>
    </xf>
    <xf numFmtId="49" fontId="50" fillId="27" borderId="44" xfId="0" applyNumberFormat="1" applyFont="1" applyFill="1" applyBorder="1" applyAlignment="1">
      <alignment horizontal="left" vertical="center" wrapText="1" readingOrder="1"/>
    </xf>
    <xf numFmtId="49" fontId="50" fillId="27" borderId="49" xfId="0" applyNumberFormat="1" applyFont="1" applyFill="1" applyBorder="1" applyAlignment="1">
      <alignment horizontal="left" vertical="center" wrapText="1" readingOrder="1"/>
    </xf>
    <xf numFmtId="49" fontId="50" fillId="27" borderId="45" xfId="0" applyNumberFormat="1" applyFont="1" applyFill="1" applyBorder="1" applyAlignment="1">
      <alignment horizontal="left" vertical="center" wrapText="1" readingOrder="1"/>
    </xf>
    <xf numFmtId="0" fontId="49" fillId="0" borderId="23" xfId="0" applyNumberFormat="1" applyFont="1" applyFill="1" applyBorder="1" applyAlignment="1">
      <alignment vertical="center" wrapText="1" readingOrder="1"/>
    </xf>
    <xf numFmtId="49" fontId="50" fillId="27" borderId="14" xfId="0" applyNumberFormat="1" applyFont="1" applyFill="1" applyBorder="1" applyAlignment="1">
      <alignment horizontal="right" vertical="center" wrapText="1" readingOrder="1"/>
    </xf>
    <xf numFmtId="49" fontId="50" fillId="27" borderId="43" xfId="0" applyNumberFormat="1" applyFont="1" applyFill="1" applyBorder="1" applyAlignment="1">
      <alignment horizontal="right" vertical="center" wrapText="1" readingOrder="1"/>
    </xf>
    <xf numFmtId="49" fontId="50" fillId="27" borderId="38" xfId="0" applyNumberFormat="1" applyFont="1" applyFill="1" applyBorder="1" applyAlignment="1">
      <alignment horizontal="right" vertical="center" wrapText="1" readingOrder="1"/>
    </xf>
    <xf numFmtId="49" fontId="49" fillId="0" borderId="54" xfId="0" applyNumberFormat="1" applyFont="1" applyFill="1" applyBorder="1" applyAlignment="1">
      <alignment horizontal="left" vertical="center" wrapText="1" readingOrder="1"/>
    </xf>
    <xf numFmtId="49" fontId="49" fillId="0" borderId="55" xfId="0" applyNumberFormat="1" applyFont="1" applyFill="1" applyBorder="1" applyAlignment="1">
      <alignment horizontal="left" vertical="center" wrapText="1" readingOrder="1"/>
    </xf>
    <xf numFmtId="49" fontId="49" fillId="0" borderId="36" xfId="0" applyNumberFormat="1" applyFont="1" applyFill="1" applyBorder="1" applyAlignment="1">
      <alignment horizontal="left" vertical="center" wrapText="1" readingOrder="1"/>
    </xf>
    <xf numFmtId="0" fontId="49" fillId="0" borderId="14" xfId="0" applyNumberFormat="1" applyFont="1" applyFill="1" applyBorder="1" applyAlignment="1">
      <alignment horizontal="left" vertical="center" wrapText="1" readingOrder="1"/>
    </xf>
    <xf numFmtId="0" fontId="49" fillId="0" borderId="43" xfId="0" applyNumberFormat="1" applyFont="1" applyFill="1" applyBorder="1" applyAlignment="1">
      <alignment horizontal="left" vertical="center" wrapText="1" readingOrder="1"/>
    </xf>
    <xf numFmtId="0" fontId="49" fillId="0" borderId="38" xfId="0" applyNumberFormat="1" applyFont="1" applyFill="1" applyBorder="1" applyAlignment="1">
      <alignment horizontal="left" vertical="center" wrapText="1" readingOrder="1"/>
    </xf>
    <xf numFmtId="49" fontId="50" fillId="27" borderId="13" xfId="0" applyNumberFormat="1" applyFont="1" applyFill="1" applyBorder="1" applyAlignment="1">
      <alignment horizontal="left" vertical="center" wrapText="1" readingOrder="1"/>
    </xf>
    <xf numFmtId="0" fontId="49" fillId="26" borderId="13" xfId="0" applyNumberFormat="1" applyFont="1" applyFill="1" applyBorder="1" applyAlignment="1">
      <alignment vertical="center" wrapText="1" readingOrder="1"/>
    </xf>
    <xf numFmtId="0" fontId="50" fillId="26" borderId="22" xfId="0" applyNumberFormat="1" applyFont="1" applyFill="1" applyBorder="1" applyAlignment="1">
      <alignment vertical="center" wrapText="1" readingOrder="1"/>
    </xf>
    <xf numFmtId="0" fontId="49" fillId="26" borderId="23" xfId="0" applyNumberFormat="1" applyFont="1" applyFill="1" applyBorder="1" applyAlignment="1">
      <alignment vertical="center" wrapText="1" readingOrder="1"/>
    </xf>
    <xf numFmtId="0" fontId="50" fillId="26" borderId="13" xfId="0" applyNumberFormat="1" applyFont="1" applyFill="1" applyBorder="1" applyAlignment="1">
      <alignment vertical="center" wrapText="1" readingOrder="1"/>
    </xf>
    <xf numFmtId="0" fontId="50" fillId="26" borderId="37" xfId="0" applyNumberFormat="1" applyFont="1" applyFill="1" applyBorder="1" applyAlignment="1">
      <alignment vertical="center" wrapText="1" readingOrder="1"/>
    </xf>
    <xf numFmtId="0" fontId="50" fillId="26" borderId="0" xfId="0" applyNumberFormat="1" applyFont="1" applyFill="1" applyBorder="1" applyAlignment="1">
      <alignment horizontal="left" vertical="center" wrapText="1" readingOrder="1"/>
    </xf>
    <xf numFmtId="0" fontId="50" fillId="26" borderId="28" xfId="0" applyNumberFormat="1" applyFont="1" applyFill="1" applyBorder="1" applyAlignment="1">
      <alignment horizontal="left" vertical="center" wrapText="1" readingOrder="1"/>
    </xf>
    <xf numFmtId="0" fontId="50" fillId="26" borderId="25" xfId="0" applyNumberFormat="1" applyFont="1" applyFill="1" applyBorder="1" applyAlignment="1">
      <alignment horizontal="left" vertical="center" wrapText="1" readingOrder="1"/>
    </xf>
    <xf numFmtId="0" fontId="50" fillId="26" borderId="26" xfId="0" applyNumberFormat="1" applyFont="1" applyFill="1" applyBorder="1" applyAlignment="1">
      <alignment horizontal="left" vertical="center" wrapText="1" readingOrder="1"/>
    </xf>
    <xf numFmtId="4" fontId="60" fillId="26" borderId="0" xfId="0" applyNumberFormat="1" applyFont="1" applyFill="1" applyBorder="1" applyAlignment="1">
      <alignment horizontal="left" vertical="center" wrapText="1" readingOrder="1"/>
    </xf>
    <xf numFmtId="0" fontId="60" fillId="26" borderId="0" xfId="0" applyNumberFormat="1" applyFont="1" applyFill="1" applyBorder="1" applyAlignment="1">
      <alignment horizontal="left" vertical="center" wrapText="1" readingOrder="1"/>
    </xf>
    <xf numFmtId="0" fontId="50" fillId="26" borderId="23" xfId="0" applyNumberFormat="1" applyFont="1" applyFill="1" applyBorder="1" applyAlignment="1">
      <alignment vertical="center" wrapText="1" readingOrder="1"/>
    </xf>
    <xf numFmtId="0" fontId="49" fillId="26" borderId="14" xfId="0" applyNumberFormat="1" applyFont="1" applyFill="1" applyBorder="1" applyAlignment="1">
      <alignment vertical="center" wrapText="1" readingOrder="1"/>
    </xf>
    <xf numFmtId="0" fontId="49" fillId="26" borderId="43" xfId="0" applyNumberFormat="1" applyFont="1" applyFill="1" applyBorder="1" applyAlignment="1">
      <alignment vertical="center" wrapText="1" readingOrder="1"/>
    </xf>
    <xf numFmtId="0" fontId="49" fillId="26" borderId="38" xfId="0" applyNumberFormat="1" applyFont="1" applyFill="1" applyBorder="1" applyAlignment="1">
      <alignment vertical="center" wrapText="1" readingOrder="1"/>
    </xf>
    <xf numFmtId="0" fontId="59" fillId="26" borderId="0" xfId="0" applyNumberFormat="1" applyFont="1" applyFill="1" applyBorder="1" applyAlignment="1">
      <alignment horizontal="left" vertical="center" wrapText="1" readingOrder="1"/>
    </xf>
    <xf numFmtId="0" fontId="59" fillId="26" borderId="0" xfId="0" applyNumberFormat="1" applyFont="1" applyFill="1" applyBorder="1" applyAlignment="1">
      <alignment horizontal="center" vertical="center" wrapText="1" readingOrder="1"/>
    </xf>
    <xf numFmtId="0" fontId="50" fillId="26" borderId="13"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left" vertical="center" wrapText="1" readingOrder="1"/>
    </xf>
    <xf numFmtId="0" fontId="49" fillId="26" borderId="0" xfId="0" applyNumberFormat="1" applyFont="1" applyFill="1" applyBorder="1" applyAlignment="1">
      <alignment horizontal="center" vertical="center" wrapText="1" readingOrder="1"/>
    </xf>
    <xf numFmtId="0" fontId="60" fillId="26" borderId="13" xfId="0" applyNumberFormat="1" applyFont="1" applyFill="1" applyBorder="1" applyAlignment="1">
      <alignment horizontal="center" vertical="center" wrapText="1" readingOrder="1"/>
    </xf>
    <xf numFmtId="0" fontId="49" fillId="26" borderId="25" xfId="0" applyNumberFormat="1" applyFont="1" applyFill="1" applyBorder="1" applyAlignment="1">
      <alignment horizontal="center" vertical="center" wrapText="1" readingOrder="1"/>
    </xf>
    <xf numFmtId="0" fontId="50" fillId="26" borderId="39" xfId="0" applyNumberFormat="1" applyFont="1" applyFill="1" applyBorder="1" applyAlignment="1">
      <alignment vertical="center" wrapText="1" readingOrder="1"/>
    </xf>
    <xf numFmtId="0" fontId="49" fillId="26" borderId="37" xfId="0" applyNumberFormat="1" applyFont="1" applyFill="1" applyBorder="1" applyAlignment="1">
      <alignment vertical="center" wrapText="1" readingOrder="1"/>
    </xf>
    <xf numFmtId="0" fontId="49" fillId="26" borderId="43" xfId="0" applyNumberFormat="1" applyFont="1" applyFill="1" applyBorder="1" applyAlignment="1">
      <alignment horizontal="center" vertical="center" wrapText="1" readingOrder="1"/>
    </xf>
    <xf numFmtId="0" fontId="50" fillId="26" borderId="14" xfId="0" applyNumberFormat="1" applyFont="1" applyFill="1" applyBorder="1" applyAlignment="1">
      <alignment horizontal="center" vertical="center" wrapText="1" readingOrder="1"/>
    </xf>
    <xf numFmtId="0" fontId="50" fillId="26" borderId="43" xfId="0" applyNumberFormat="1" applyFont="1" applyFill="1" applyBorder="1" applyAlignment="1">
      <alignment horizontal="center" vertical="center" wrapText="1" readingOrder="1"/>
    </xf>
    <xf numFmtId="0" fontId="50" fillId="26" borderId="38" xfId="0" applyNumberFormat="1" applyFont="1" applyFill="1" applyBorder="1" applyAlignment="1">
      <alignment horizontal="center" vertical="center" wrapText="1" readingOrder="1"/>
    </xf>
    <xf numFmtId="0" fontId="60" fillId="26" borderId="14" xfId="0" applyNumberFormat="1" applyFont="1" applyFill="1" applyBorder="1" applyAlignment="1">
      <alignment horizontal="center" vertical="center" wrapText="1" readingOrder="1"/>
    </xf>
    <xf numFmtId="0" fontId="60" fillId="26" borderId="43" xfId="0" applyNumberFormat="1" applyFont="1" applyFill="1" applyBorder="1" applyAlignment="1">
      <alignment horizontal="center" vertical="center" wrapText="1" readingOrder="1"/>
    </xf>
    <xf numFmtId="0" fontId="60" fillId="26" borderId="38" xfId="0" applyNumberFormat="1" applyFont="1" applyFill="1" applyBorder="1" applyAlignment="1">
      <alignment horizontal="center" vertical="center" wrapText="1" readingOrder="1"/>
    </xf>
    <xf numFmtId="0" fontId="49" fillId="26" borderId="39" xfId="0" applyNumberFormat="1" applyFont="1" applyFill="1" applyBorder="1" applyAlignment="1">
      <alignment vertical="center" wrapText="1" readingOrder="1"/>
    </xf>
    <xf numFmtId="0" fontId="49" fillId="26" borderId="43" xfId="0" applyNumberFormat="1" applyFont="1" applyFill="1" applyBorder="1" applyAlignment="1">
      <alignment horizontal="left" vertical="center" wrapText="1" readingOrder="1"/>
    </xf>
    <xf numFmtId="0" fontId="50" fillId="26" borderId="44" xfId="0" applyNumberFormat="1" applyFont="1" applyFill="1" applyBorder="1" applyAlignment="1">
      <alignment vertical="center" wrapText="1" readingOrder="1"/>
    </xf>
    <xf numFmtId="0" fontId="59" fillId="26" borderId="0" xfId="0" applyNumberFormat="1" applyFont="1" applyFill="1" applyBorder="1" applyAlignment="1">
      <alignment vertical="center" wrapText="1" readingOrder="1"/>
    </xf>
    <xf numFmtId="0" fontId="49" fillId="26" borderId="27" xfId="0" applyNumberFormat="1" applyFont="1" applyFill="1" applyBorder="1" applyAlignment="1">
      <alignment horizontal="center" vertical="center" wrapText="1" readingOrder="1"/>
    </xf>
    <xf numFmtId="0" fontId="50" fillId="26" borderId="21" xfId="0" applyNumberFormat="1" applyFont="1" applyFill="1" applyBorder="1" applyAlignment="1">
      <alignment horizontal="center" vertical="center" wrapText="1" readingOrder="1"/>
    </xf>
    <xf numFmtId="0" fontId="50" fillId="26" borderId="29" xfId="0" applyNumberFormat="1" applyFont="1" applyFill="1" applyBorder="1" applyAlignment="1">
      <alignment horizontal="center" vertical="center" wrapText="1" readingOrder="1"/>
    </xf>
    <xf numFmtId="0" fontId="50" fillId="26" borderId="27" xfId="0" applyNumberFormat="1" applyFont="1" applyFill="1" applyBorder="1" applyAlignment="1">
      <alignment horizontal="center" vertical="center" wrapText="1" readingOrder="1"/>
    </xf>
    <xf numFmtId="0" fontId="50" fillId="26" borderId="0" xfId="0" applyNumberFormat="1" applyFont="1" applyFill="1" applyBorder="1" applyAlignment="1">
      <alignment horizontal="center" vertical="center" wrapText="1" readingOrder="1"/>
    </xf>
    <xf numFmtId="4" fontId="49" fillId="26" borderId="27" xfId="0" applyNumberFormat="1" applyFont="1" applyFill="1" applyBorder="1" applyAlignment="1">
      <alignment horizontal="center" vertical="center" wrapText="1" readingOrder="1"/>
    </xf>
    <xf numFmtId="4" fontId="49" fillId="26" borderId="0" xfId="0" applyNumberFormat="1" applyFont="1" applyFill="1" applyBorder="1" applyAlignment="1">
      <alignment horizontal="center" vertical="center" wrapText="1" readingOrder="1"/>
    </xf>
    <xf numFmtId="4" fontId="49" fillId="26" borderId="21" xfId="0" applyNumberFormat="1" applyFont="1" applyFill="1" applyBorder="1" applyAlignment="1">
      <alignment horizontal="center" vertical="center" wrapText="1" readingOrder="1"/>
    </xf>
    <xf numFmtId="4" fontId="49" fillId="26" borderId="29" xfId="0" applyNumberFormat="1" applyFont="1" applyFill="1" applyBorder="1" applyAlignment="1">
      <alignment horizontal="center" vertical="center" wrapText="1" readingOrder="1"/>
    </xf>
    <xf numFmtId="0" fontId="50" fillId="26" borderId="0" xfId="0" applyNumberFormat="1" applyFont="1" applyFill="1" applyBorder="1" applyAlignment="1">
      <alignment horizontal="right" vertical="center" wrapText="1" readingOrder="1"/>
    </xf>
    <xf numFmtId="0" fontId="49" fillId="26" borderId="14" xfId="0" applyNumberFormat="1" applyFont="1" applyFill="1" applyBorder="1" applyAlignment="1">
      <alignment horizontal="center" vertical="distributed"/>
    </xf>
    <xf numFmtId="0" fontId="49" fillId="26" borderId="38" xfId="0" applyNumberFormat="1" applyFont="1" applyFill="1" applyBorder="1" applyAlignment="1">
      <alignment horizontal="center" vertical="distributed"/>
    </xf>
    <xf numFmtId="0" fontId="49" fillId="26" borderId="43" xfId="0" applyNumberFormat="1" applyFont="1" applyFill="1" applyBorder="1" applyAlignment="1">
      <alignment horizontal="center" vertical="distributed"/>
    </xf>
    <xf numFmtId="0" fontId="50" fillId="26" borderId="0" xfId="0" applyNumberFormat="1" applyFont="1" applyFill="1" applyBorder="1" applyAlignment="1">
      <alignment horizontal="left" vertical="distributed"/>
    </xf>
    <xf numFmtId="0" fontId="64" fillId="26" borderId="29" xfId="0" applyNumberFormat="1" applyFont="1" applyFill="1" applyBorder="1" applyAlignment="1">
      <alignment horizontal="left" vertical="distributed"/>
    </xf>
    <xf numFmtId="0" fontId="49" fillId="0" borderId="27" xfId="0" applyNumberFormat="1" applyFont="1" applyFill="1" applyBorder="1" applyAlignment="1">
      <alignment horizontal="left" vertical="center" wrapText="1" readingOrder="1"/>
    </xf>
    <xf numFmtId="0" fontId="49" fillId="0" borderId="0" xfId="0" applyNumberFormat="1" applyFont="1" applyFill="1" applyBorder="1" applyAlignment="1">
      <alignment horizontal="left" vertical="center" wrapText="1" readingOrder="1"/>
    </xf>
    <xf numFmtId="4" fontId="50" fillId="0" borderId="21" xfId="0" applyNumberFormat="1" applyFont="1" applyFill="1" applyBorder="1" applyAlignment="1">
      <alignment horizontal="left" vertical="center" wrapText="1" readingOrder="1"/>
    </xf>
    <xf numFmtId="0" fontId="50" fillId="0" borderId="29" xfId="0" applyNumberFormat="1" applyFont="1" applyFill="1" applyBorder="1" applyAlignment="1">
      <alignment horizontal="left" vertical="center" wrapText="1" readingOrder="1"/>
    </xf>
    <xf numFmtId="0" fontId="52" fillId="0" borderId="39" xfId="0" applyNumberFormat="1" applyFont="1" applyFill="1" applyBorder="1" applyAlignment="1">
      <alignment horizontal="center" vertical="center" wrapText="1" readingOrder="1"/>
    </xf>
    <xf numFmtId="0" fontId="52" fillId="0" borderId="37" xfId="0" applyNumberFormat="1" applyFont="1" applyFill="1" applyBorder="1" applyAlignment="1">
      <alignment horizontal="center" vertical="center" wrapText="1" readingOrder="1"/>
    </xf>
    <xf numFmtId="0" fontId="52" fillId="0" borderId="23" xfId="0" applyNumberFormat="1" applyFont="1" applyFill="1" applyBorder="1" applyAlignment="1">
      <alignment horizontal="center" vertical="center" wrapText="1" readingOrder="1"/>
    </xf>
    <xf numFmtId="0" fontId="52" fillId="0" borderId="19" xfId="0" applyNumberFormat="1" applyFont="1" applyFill="1" applyBorder="1" applyAlignment="1">
      <alignment horizontal="center" vertical="center" wrapText="1" readingOrder="1"/>
    </xf>
    <xf numFmtId="0" fontId="52" fillId="0" borderId="50" xfId="0" applyNumberFormat="1" applyFont="1" applyFill="1" applyBorder="1" applyAlignment="1">
      <alignment horizontal="center" vertical="center" wrapText="1" readingOrder="1"/>
    </xf>
    <xf numFmtId="0" fontId="52" fillId="0" borderId="51" xfId="0" applyNumberFormat="1" applyFont="1" applyFill="1" applyBorder="1" applyAlignment="1">
      <alignment horizontal="center" vertical="center" wrapText="1" readingOrder="1"/>
    </xf>
    <xf numFmtId="0" fontId="52" fillId="0" borderId="13" xfId="0" applyNumberFormat="1" applyFont="1" applyFill="1" applyBorder="1" applyAlignment="1">
      <alignment horizontal="center" vertical="center" wrapText="1" readingOrder="1"/>
    </xf>
    <xf numFmtId="4" fontId="49" fillId="0" borderId="27" xfId="0" applyNumberFormat="1" applyFont="1" applyFill="1" applyBorder="1" applyAlignment="1">
      <alignment horizontal="center" vertical="center" readingOrder="1"/>
    </xf>
    <xf numFmtId="4" fontId="49" fillId="0" borderId="0" xfId="0" applyNumberFormat="1" applyFont="1" applyFill="1" applyBorder="1" applyAlignment="1">
      <alignment horizontal="center" vertical="center" readingOrder="1"/>
    </xf>
    <xf numFmtId="0" fontId="50" fillId="0" borderId="22" xfId="0" applyNumberFormat="1" applyFont="1" applyFill="1" applyBorder="1" applyAlignment="1">
      <alignment vertical="center" wrapText="1" readingOrder="1"/>
    </xf>
    <xf numFmtId="0" fontId="65" fillId="26" borderId="14" xfId="0" applyNumberFormat="1" applyFont="1" applyFill="1" applyBorder="1" applyAlignment="1">
      <alignment horizontal="center" vertical="distributed"/>
    </xf>
    <xf numFmtId="0" fontId="65" fillId="26" borderId="38" xfId="0" applyNumberFormat="1" applyFont="1" applyFill="1" applyBorder="1" applyAlignment="1">
      <alignment horizontal="center" vertical="distributed"/>
    </xf>
    <xf numFmtId="0" fontId="49" fillId="26" borderId="42" xfId="0" applyNumberFormat="1" applyFont="1" applyFill="1" applyBorder="1" applyAlignment="1">
      <alignment vertical="center" wrapText="1" readingOrder="1"/>
    </xf>
    <xf numFmtId="4" fontId="49" fillId="26" borderId="14" xfId="0" applyNumberFormat="1" applyFont="1" applyFill="1" applyBorder="1" applyAlignment="1">
      <alignment horizontal="center" vertical="distributed"/>
    </xf>
    <xf numFmtId="4" fontId="49" fillId="26" borderId="38" xfId="0" applyNumberFormat="1" applyFont="1" applyFill="1" applyBorder="1" applyAlignment="1">
      <alignment horizontal="center" vertical="distributed"/>
    </xf>
    <xf numFmtId="0" fontId="65" fillId="26" borderId="43" xfId="0" applyNumberFormat="1" applyFont="1" applyFill="1" applyBorder="1" applyAlignment="1">
      <alignment horizontal="center" vertical="distributed"/>
    </xf>
    <xf numFmtId="4" fontId="49" fillId="0" borderId="0" xfId="0" applyNumberFormat="1" applyFont="1" applyFill="1" applyBorder="1" applyAlignment="1">
      <alignment horizontal="center" vertical="center"/>
    </xf>
    <xf numFmtId="0" fontId="50" fillId="26" borderId="25" xfId="0" applyNumberFormat="1" applyFont="1" applyFill="1" applyBorder="1" applyAlignment="1">
      <alignment horizontal="center" vertical="center" wrapText="1" readingOrder="1"/>
    </xf>
    <xf numFmtId="0" fontId="50" fillId="26" borderId="28" xfId="0" applyNumberFormat="1" applyFont="1" applyFill="1" applyBorder="1" applyAlignment="1">
      <alignment horizontal="center" vertical="center" wrapText="1" readingOrder="1"/>
    </xf>
    <xf numFmtId="0" fontId="49" fillId="26" borderId="0" xfId="0" applyNumberFormat="1" applyFont="1" applyFill="1" applyBorder="1" applyAlignment="1">
      <alignment horizontal="center" vertical="distributed"/>
    </xf>
    <xf numFmtId="0" fontId="25" fillId="24" borderId="13" xfId="105" applyNumberFormat="1" applyFont="1" applyFill="1" applyBorder="1" applyAlignment="1">
      <alignment horizontal="left" vertical="center" wrapText="1" readingOrder="1"/>
    </xf>
    <xf numFmtId="0" fontId="3" fillId="0" borderId="14" xfId="105" applyNumberFormat="1" applyFont="1" applyBorder="1" applyAlignment="1">
      <alignment horizontal="center" vertical="center"/>
    </xf>
    <xf numFmtId="0" fontId="3" fillId="0" borderId="38" xfId="105" applyNumberFormat="1" applyFont="1" applyBorder="1" applyAlignment="1">
      <alignment horizontal="center" vertical="center"/>
    </xf>
    <xf numFmtId="0" fontId="39" fillId="0" borderId="0" xfId="105" applyNumberFormat="1" applyFont="1" applyAlignment="1">
      <alignment horizontal="left" vertical="center" wrapText="1"/>
    </xf>
    <xf numFmtId="0" fontId="25" fillId="24" borderId="14" xfId="105" applyNumberFormat="1" applyFont="1" applyFill="1" applyBorder="1" applyAlignment="1" applyProtection="1">
      <alignment horizontal="left"/>
    </xf>
    <xf numFmtId="0" fontId="25" fillId="24" borderId="43" xfId="105" applyNumberFormat="1" applyFont="1" applyFill="1" applyBorder="1" applyAlignment="1" applyProtection="1">
      <alignment horizontal="left"/>
    </xf>
    <xf numFmtId="0" fontId="25" fillId="24" borderId="38" xfId="105" applyNumberFormat="1" applyFont="1" applyFill="1" applyBorder="1" applyAlignment="1" applyProtection="1">
      <alignment horizontal="left"/>
    </xf>
    <xf numFmtId="0" fontId="25" fillId="24" borderId="29" xfId="105" applyNumberFormat="1" applyFont="1" applyFill="1" applyBorder="1" applyAlignment="1" applyProtection="1">
      <alignment horizontal="left"/>
    </xf>
    <xf numFmtId="0" fontId="25" fillId="24" borderId="30" xfId="105" applyNumberFormat="1" applyFont="1" applyFill="1" applyBorder="1" applyAlignment="1" applyProtection="1">
      <alignment horizontal="left"/>
    </xf>
    <xf numFmtId="0" fontId="6" fillId="24" borderId="13" xfId="105" applyNumberFormat="1" applyFont="1" applyFill="1" applyBorder="1" applyAlignment="1">
      <alignment horizontal="left" vertical="center" wrapText="1" readingOrder="1"/>
    </xf>
    <xf numFmtId="0" fontId="25" fillId="24" borderId="0" xfId="105" applyNumberFormat="1" applyFont="1" applyFill="1" applyBorder="1" applyAlignment="1">
      <alignment horizontal="center" vertical="center"/>
    </xf>
    <xf numFmtId="0" fontId="25" fillId="24" borderId="13" xfId="105" applyNumberFormat="1" applyFont="1" applyFill="1" applyBorder="1" applyAlignment="1">
      <alignment horizontal="center"/>
    </xf>
    <xf numFmtId="0" fontId="25" fillId="24" borderId="39" xfId="105" applyNumberFormat="1" applyFont="1" applyFill="1" applyBorder="1" applyAlignment="1">
      <alignment horizontal="center"/>
    </xf>
    <xf numFmtId="0" fontId="25" fillId="24" borderId="13" xfId="105" applyNumberFormat="1" applyFont="1" applyFill="1" applyBorder="1" applyAlignment="1" applyProtection="1">
      <alignment horizontal="center" vertical="center" wrapText="1"/>
    </xf>
    <xf numFmtId="0" fontId="25" fillId="24" borderId="14" xfId="105" applyNumberFormat="1" applyFont="1" applyFill="1" applyBorder="1" applyAlignment="1" applyProtection="1">
      <alignment horizontal="center" vertical="center" wrapText="1"/>
    </xf>
    <xf numFmtId="0" fontId="25" fillId="24" borderId="38" xfId="105" applyNumberFormat="1" applyFont="1" applyFill="1" applyBorder="1" applyAlignment="1" applyProtection="1">
      <alignment horizontal="center" vertical="center" wrapText="1"/>
    </xf>
    <xf numFmtId="1" fontId="6" fillId="24" borderId="52" xfId="104" applyNumberFormat="1" applyFont="1" applyFill="1" applyBorder="1" applyAlignment="1">
      <alignment horizontal="center" vertical="center"/>
    </xf>
    <xf numFmtId="1" fontId="6" fillId="24" borderId="51" xfId="104" applyNumberFormat="1" applyFont="1" applyFill="1" applyBorder="1" applyAlignment="1">
      <alignment horizontal="center" vertical="center"/>
    </xf>
    <xf numFmtId="170" fontId="29" fillId="24" borderId="53" xfId="104" applyNumberFormat="1" applyFont="1" applyFill="1" applyBorder="1" applyAlignment="1">
      <alignment horizontal="center" vertical="center" wrapText="1"/>
    </xf>
    <xf numFmtId="170" fontId="29" fillId="24" borderId="38" xfId="104" applyNumberFormat="1" applyFont="1" applyFill="1" applyBorder="1" applyAlignment="1">
      <alignment horizontal="center" vertical="center" wrapText="1"/>
    </xf>
    <xf numFmtId="0" fontId="6" fillId="24" borderId="53" xfId="104" applyNumberFormat="1" applyFont="1" applyFill="1" applyBorder="1" applyAlignment="1">
      <alignment horizontal="center" vertical="center" wrapText="1"/>
    </xf>
    <xf numFmtId="0" fontId="6" fillId="24" borderId="38" xfId="104" applyNumberFormat="1" applyFont="1" applyFill="1" applyBorder="1" applyAlignment="1">
      <alignment horizontal="center" vertical="center" wrapText="1"/>
    </xf>
    <xf numFmtId="0" fontId="29" fillId="0" borderId="54" xfId="104" applyFont="1" applyBorder="1" applyAlignment="1">
      <alignment horizontal="center" vertical="center"/>
    </xf>
    <xf numFmtId="0" fontId="29" fillId="0" borderId="55" xfId="104" applyFont="1" applyBorder="1" applyAlignment="1">
      <alignment horizontal="center" vertical="center"/>
    </xf>
    <xf numFmtId="0" fontId="29" fillId="0" borderId="56" xfId="104" applyFont="1" applyBorder="1" applyAlignment="1">
      <alignment horizontal="center" vertical="center"/>
    </xf>
    <xf numFmtId="0" fontId="29" fillId="0" borderId="17" xfId="104" applyFont="1" applyBorder="1" applyAlignment="1">
      <alignment horizontal="center" vertical="center"/>
    </xf>
    <xf numFmtId="170" fontId="29" fillId="24" borderId="39" xfId="104" applyNumberFormat="1" applyFont="1" applyFill="1" applyBorder="1" applyAlignment="1">
      <alignment horizontal="center" vertical="center"/>
    </xf>
    <xf numFmtId="170" fontId="29" fillId="24" borderId="23" xfId="104" applyNumberFormat="1" applyFont="1" applyFill="1" applyBorder="1" applyAlignment="1">
      <alignment horizontal="center" vertical="center"/>
    </xf>
    <xf numFmtId="4" fontId="27" fillId="0" borderId="57" xfId="151" applyNumberFormat="1" applyFont="1" applyFill="1" applyBorder="1" applyAlignment="1" applyProtection="1">
      <alignment horizontal="center" vertical="center" wrapText="1"/>
      <protection locked="0"/>
    </xf>
    <xf numFmtId="4" fontId="27" fillId="0" borderId="23" xfId="151" applyNumberFormat="1" applyFont="1" applyFill="1" applyBorder="1" applyAlignment="1" applyProtection="1">
      <alignment horizontal="center" vertical="center" wrapText="1"/>
      <protection locked="0"/>
    </xf>
    <xf numFmtId="10" fontId="29" fillId="24" borderId="58" xfId="104" applyNumberFormat="1" applyFont="1" applyFill="1" applyBorder="1" applyAlignment="1">
      <alignment horizontal="center" vertical="center"/>
    </xf>
    <xf numFmtId="10" fontId="29" fillId="24" borderId="17" xfId="104" applyNumberFormat="1" applyFont="1" applyFill="1" applyBorder="1" applyAlignment="1">
      <alignment horizontal="center" vertical="center"/>
    </xf>
    <xf numFmtId="4" fontId="25" fillId="0" borderId="59" xfId="151" applyNumberFormat="1" applyFont="1" applyFill="1" applyBorder="1" applyAlignment="1" applyProtection="1">
      <alignment horizontal="center" vertical="center" wrapText="1"/>
      <protection locked="0"/>
    </xf>
    <xf numFmtId="4" fontId="27" fillId="0" borderId="60" xfId="151" applyNumberFormat="1" applyFont="1" applyFill="1" applyBorder="1" applyAlignment="1" applyProtection="1">
      <alignment horizontal="center" vertical="center" wrapText="1"/>
      <protection locked="0"/>
    </xf>
    <xf numFmtId="49" fontId="27" fillId="0" borderId="57" xfId="151" applyNumberFormat="1" applyFont="1" applyFill="1" applyBorder="1" applyAlignment="1" applyProtection="1">
      <alignment horizontal="center" vertical="center" wrapText="1"/>
      <protection locked="0"/>
    </xf>
    <xf numFmtId="49" fontId="27" fillId="0" borderId="23" xfId="151" applyNumberFormat="1" applyFont="1" applyFill="1" applyBorder="1" applyAlignment="1" applyProtection="1">
      <alignment horizontal="center" vertical="center" wrapText="1"/>
      <protection locked="0"/>
    </xf>
  </cellXfs>
  <cellStyles count="168">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40% - Accent1" xfId="13"/>
    <cellStyle name="40% - Accent1 2" xfId="14"/>
    <cellStyle name="40% - Accent2" xfId="15"/>
    <cellStyle name="40% - Accent2 2" xfId="16"/>
    <cellStyle name="40% - Accent3" xfId="17"/>
    <cellStyle name="40% - Accent3 2" xfId="18"/>
    <cellStyle name="40% - Accent4" xfId="19"/>
    <cellStyle name="40% - Accent4 2" xfId="20"/>
    <cellStyle name="40% - Accent5" xfId="21"/>
    <cellStyle name="40% - Accent5 2" xfId="22"/>
    <cellStyle name="40% - Accent6" xfId="23"/>
    <cellStyle name="40% - Accent6 2"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álculo" xfId="39" builtinId="22" customBuiltin="1"/>
    <cellStyle name="Cálculo 2" xfId="40"/>
    <cellStyle name="Cálculo 3" xfId="41"/>
    <cellStyle name="Check Cell" xfId="42"/>
    <cellStyle name="Código" xfId="43"/>
    <cellStyle name="Descrição" xfId="44"/>
    <cellStyle name="Entrada" xfId="45" builtinId="20" customBuiltin="1"/>
    <cellStyle name="Entrada 2" xfId="46"/>
    <cellStyle name="Entrada 3" xfId="47"/>
    <cellStyle name="Euro" xfId="48"/>
    <cellStyle name="Euro 2" xfId="49"/>
    <cellStyle name="Explanatory Text" xfId="50"/>
    <cellStyle name="Good" xfId="51"/>
    <cellStyle name="Heading 1" xfId="52"/>
    <cellStyle name="Heading 2" xfId="53"/>
    <cellStyle name="Heading 3" xfId="54"/>
    <cellStyle name="Heading 4" xfId="55"/>
    <cellStyle name="Input" xfId="56"/>
    <cellStyle name="Linked Cell" xfId="57"/>
    <cellStyle name="Moeda" xfId="58" builtinId="4"/>
    <cellStyle name="Moeda 2" xfId="59"/>
    <cellStyle name="Moeda 2 2" xfId="60"/>
    <cellStyle name="Moeda 3" xfId="61"/>
    <cellStyle name="Neutral" xfId="62"/>
    <cellStyle name="Normal" xfId="0" builtinId="0"/>
    <cellStyle name="Normal 10" xfId="63"/>
    <cellStyle name="Normal 11" xfId="64"/>
    <cellStyle name="Normal 12" xfId="65"/>
    <cellStyle name="Normal 12 2" xfId="66"/>
    <cellStyle name="Normal 13" xfId="67"/>
    <cellStyle name="Normal 13 2" xfId="68"/>
    <cellStyle name="Normal 14" xfId="69"/>
    <cellStyle name="Normal 15" xfId="70"/>
    <cellStyle name="Normal 16" xfId="71"/>
    <cellStyle name="Normal 2" xfId="72"/>
    <cellStyle name="Normal 2 2" xfId="73"/>
    <cellStyle name="Normal 2 3" xfId="74"/>
    <cellStyle name="Normal 2 4" xfId="75"/>
    <cellStyle name="Normal 2_2ª Medição" xfId="76"/>
    <cellStyle name="Normal 3" xfId="77"/>
    <cellStyle name="Normal 3 2" xfId="78"/>
    <cellStyle name="Normal 3 2 2" xfId="79"/>
    <cellStyle name="Normal 3 2 2 2" xfId="80"/>
    <cellStyle name="Normal 3 2 3" xfId="81"/>
    <cellStyle name="Normal 3 2 3 2" xfId="82"/>
    <cellStyle name="Normal 3 3" xfId="83"/>
    <cellStyle name="Normal 3 4" xfId="84"/>
    <cellStyle name="Normal 3 4 2" xfId="85"/>
    <cellStyle name="Normal 3 5" xfId="86"/>
    <cellStyle name="Normal 3 5 2" xfId="87"/>
    <cellStyle name="Normal 3 6" xfId="88"/>
    <cellStyle name="Normal 4" xfId="89"/>
    <cellStyle name="Normal 4 2" xfId="90"/>
    <cellStyle name="Normal 4 2 2" xfId="91"/>
    <cellStyle name="Normal 4 3" xfId="92"/>
    <cellStyle name="Normal 4 3 2" xfId="93"/>
    <cellStyle name="Normal 5" xfId="94"/>
    <cellStyle name="Normal 5 2" xfId="95"/>
    <cellStyle name="Normal 6" xfId="96"/>
    <cellStyle name="Normal 6 2" xfId="97"/>
    <cellStyle name="Normal 6 3" xfId="98"/>
    <cellStyle name="Normal 7" xfId="99"/>
    <cellStyle name="Normal 8" xfId="100"/>
    <cellStyle name="Normal 8 2" xfId="101"/>
    <cellStyle name="Normal 9" xfId="102"/>
    <cellStyle name="Normal 9 2" xfId="103"/>
    <cellStyle name="Normal_Nova Lima Delano." xfId="104"/>
    <cellStyle name="Normal_QCI- Corinto " xfId="105"/>
    <cellStyle name="Nota" xfId="106" builtinId="10" customBuiltin="1"/>
    <cellStyle name="Nota 2" xfId="107"/>
    <cellStyle name="Nota 3" xfId="108"/>
    <cellStyle name="Note" xfId="109"/>
    <cellStyle name="Note 2" xfId="110"/>
    <cellStyle name="Numeração" xfId="111"/>
    <cellStyle name="Output" xfId="112"/>
    <cellStyle name="Porcentagem" xfId="113" builtinId="5"/>
    <cellStyle name="Porcentagem 2" xfId="114"/>
    <cellStyle name="Porcentagem 2 2" xfId="115"/>
    <cellStyle name="Porcentagem 2 2 2" xfId="116"/>
    <cellStyle name="Porcentagem 2 3" xfId="117"/>
    <cellStyle name="Porcentagem 3" xfId="118"/>
    <cellStyle name="Porcentagem 4" xfId="119"/>
    <cellStyle name="Porcentagem 4 2" xfId="120"/>
    <cellStyle name="Saída" xfId="121" builtinId="21" customBuiltin="1"/>
    <cellStyle name="Saída 2" xfId="122"/>
    <cellStyle name="Saída 3" xfId="123"/>
    <cellStyle name="Separador de milhares" xfId="124" builtinId="3"/>
    <cellStyle name="Separador de milhares 2" xfId="125"/>
    <cellStyle name="Separador de milhares 2 2" xfId="126"/>
    <cellStyle name="Separador de milhares 2 2 2" xfId="127"/>
    <cellStyle name="Separador de milhares 2 2 3" xfId="128"/>
    <cellStyle name="Separador de milhares 2 2 4" xfId="129"/>
    <cellStyle name="Separador de milhares 2 2 4 2" xfId="130"/>
    <cellStyle name="Separador de milhares 2 3" xfId="131"/>
    <cellStyle name="Separador de milhares 2 3 2" xfId="132"/>
    <cellStyle name="Separador de milhares 2 4" xfId="133"/>
    <cellStyle name="Separador de milhares 3" xfId="134"/>
    <cellStyle name="Separador de milhares 3 2" xfId="135"/>
    <cellStyle name="Separador de milhares 3 3" xfId="136"/>
    <cellStyle name="Separador de milhares 3 4" xfId="137"/>
    <cellStyle name="Separador de milhares 3 4 2" xfId="138"/>
    <cellStyle name="Separador de milhares 4" xfId="139"/>
    <cellStyle name="Separador de milhares 4 2" xfId="140"/>
    <cellStyle name="Separador de milhares 4 3" xfId="141"/>
    <cellStyle name="Separador de milhares 5" xfId="142"/>
    <cellStyle name="Separador de milhares 5 2" xfId="143"/>
    <cellStyle name="Separador de milhares 6" xfId="144"/>
    <cellStyle name="Separador de milhares 6 2" xfId="145"/>
    <cellStyle name="Separador de milhares 6 2 2" xfId="146"/>
    <cellStyle name="Separador de milhares 6 3" xfId="147"/>
    <cellStyle name="Separador de milhares 7" xfId="148"/>
    <cellStyle name="Separador de milhares 7 2" xfId="149"/>
    <cellStyle name="Separador de milhares_Nova Lima Delano." xfId="150"/>
    <cellStyle name="Separador de milhares_PLANILHA BÁSICA 2003- HOMOLOGADA" xfId="151"/>
    <cellStyle name="Texto de Aviso" xfId="152" builtinId="11" customBuiltin="1"/>
    <cellStyle name="Texto de Aviso 2" xfId="153"/>
    <cellStyle name="Texto de Aviso 3" xfId="154"/>
    <cellStyle name="Texto Explicativo" xfId="155" builtinId="53" customBuiltin="1"/>
    <cellStyle name="Texto Explicativo 2" xfId="156"/>
    <cellStyle name="Texto Explicativo 3" xfId="157"/>
    <cellStyle name="Title" xfId="158"/>
    <cellStyle name="Título" xfId="159" builtinId="15" customBuiltin="1"/>
    <cellStyle name="Título 5" xfId="160"/>
    <cellStyle name="Título 6" xfId="161"/>
    <cellStyle name="Totais" xfId="162"/>
    <cellStyle name="Total" xfId="163" builtinId="25" customBuiltin="1"/>
    <cellStyle name="Total 2" xfId="164"/>
    <cellStyle name="Total 3" xfId="165"/>
    <cellStyle name="Vírgula 2" xfId="166"/>
    <cellStyle name="Warning Text" xfId="167"/>
  </cellStyles>
  <dxfs count="387">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53568" name="Line 39"/>
        <xdr:cNvSpPr>
          <a:spLocks noChangeShapeType="1"/>
        </xdr:cNvSpPr>
      </xdr:nvSpPr>
      <xdr:spPr bwMode="auto">
        <a:xfrm flipH="1" flipV="1">
          <a:off x="7886700" y="4667250"/>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DOS COLETATO"/>
      <sheetName val="MEMORIAL DESCRITIVO"/>
      <sheetName val="CAUCULO"/>
      <sheetName val="Gráfico"/>
      <sheetName val="Plan1"/>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Plan1"/>
  <dimension ref="A2:AB76"/>
  <sheetViews>
    <sheetView tabSelected="1" view="pageBreakPreview" topLeftCell="A60" zoomScale="70" zoomScaleNormal="75" zoomScaleSheetLayoutView="70" workbookViewId="0">
      <selection activeCell="N73" sqref="N73"/>
    </sheetView>
  </sheetViews>
  <sheetFormatPr defaultRowHeight="15"/>
  <cols>
    <col min="1" max="1" width="3.42578125" style="94" customWidth="1"/>
    <col min="2" max="2" width="3" style="94" customWidth="1"/>
    <col min="3" max="3" width="1.7109375" style="232" customWidth="1"/>
    <col min="4" max="4" width="16.140625" style="94" customWidth="1"/>
    <col min="5" max="5" width="17.140625" style="94" customWidth="1"/>
    <col min="6" max="6" width="13" style="94" customWidth="1"/>
    <col min="7" max="7" width="25.5703125" style="94" customWidth="1"/>
    <col min="8" max="9" width="24.7109375" style="94" customWidth="1"/>
    <col min="10" max="10" width="8.5703125" style="94" customWidth="1"/>
    <col min="11" max="11" width="14" style="95" customWidth="1"/>
    <col min="12" max="12" width="9.28515625" style="94" customWidth="1"/>
    <col min="13" max="13" width="15.7109375" style="96" customWidth="1"/>
    <col min="14" max="14" width="17.85546875" style="97" customWidth="1"/>
    <col min="15" max="15" width="21.42578125" style="97" customWidth="1"/>
    <col min="16" max="16" width="22.7109375" style="97" customWidth="1"/>
    <col min="17" max="17" width="1.85546875" style="232" customWidth="1"/>
    <col min="18" max="18" width="1.7109375" style="94" customWidth="1"/>
    <col min="19" max="19" width="26.5703125" style="99" customWidth="1"/>
    <col min="20" max="20" width="15.85546875" style="98" customWidth="1"/>
    <col min="21" max="21" width="14" style="94" bestFit="1" customWidth="1"/>
    <col min="22" max="22" width="9.140625" style="94"/>
    <col min="23" max="23" width="25.85546875" style="94" customWidth="1"/>
    <col min="24" max="24" width="41.7109375" style="94" customWidth="1"/>
    <col min="25" max="25" width="9.28515625" style="94" customWidth="1"/>
    <col min="26" max="27" width="10.7109375" style="94" customWidth="1"/>
    <col min="28" max="28" width="15.7109375" style="94" customWidth="1"/>
    <col min="29" max="29" width="26.42578125" style="94" customWidth="1"/>
    <col min="30" max="30" width="17.42578125" style="94" customWidth="1"/>
    <col min="31" max="31" width="15.7109375" style="94" customWidth="1"/>
    <col min="32" max="16384" width="9.140625" style="94"/>
  </cols>
  <sheetData>
    <row r="2" spans="4:20" ht="9" customHeight="1">
      <c r="D2" s="232"/>
      <c r="E2" s="232"/>
      <c r="F2" s="232"/>
      <c r="G2" s="232"/>
      <c r="H2" s="232"/>
      <c r="I2" s="232"/>
      <c r="J2" s="232"/>
      <c r="K2" s="345"/>
      <c r="L2" s="232"/>
      <c r="M2" s="118"/>
      <c r="N2" s="346"/>
      <c r="O2" s="346"/>
      <c r="P2" s="346"/>
    </row>
    <row r="3" spans="4:20">
      <c r="D3" s="347"/>
      <c r="E3" s="348"/>
      <c r="F3" s="348"/>
      <c r="G3" s="348"/>
      <c r="H3" s="348"/>
      <c r="I3" s="348"/>
      <c r="J3" s="348"/>
      <c r="K3" s="349"/>
      <c r="L3" s="348"/>
      <c r="M3" s="263"/>
      <c r="N3" s="350"/>
      <c r="O3" s="350"/>
      <c r="P3" s="371"/>
    </row>
    <row r="4" spans="4:20">
      <c r="D4" s="351"/>
      <c r="E4" s="232"/>
      <c r="F4" s="232"/>
      <c r="G4" s="232"/>
      <c r="H4" s="232"/>
      <c r="I4" s="232"/>
      <c r="J4" s="232"/>
      <c r="K4" s="345"/>
      <c r="L4" s="232"/>
      <c r="M4" s="118"/>
      <c r="N4" s="346"/>
      <c r="O4" s="352"/>
      <c r="P4" s="372"/>
    </row>
    <row r="5" spans="4:20" ht="14.25" customHeight="1">
      <c r="D5" s="351"/>
      <c r="E5" s="232"/>
      <c r="F5" s="232"/>
      <c r="G5" s="232"/>
      <c r="H5" s="232"/>
      <c r="I5" s="232"/>
      <c r="J5" s="232"/>
      <c r="K5" s="345"/>
      <c r="L5" s="232"/>
      <c r="M5" s="118"/>
      <c r="N5" s="346"/>
      <c r="O5" s="346"/>
      <c r="P5" s="372"/>
    </row>
    <row r="6" spans="4:20" ht="21.75" customHeight="1">
      <c r="D6" s="351"/>
      <c r="E6" s="232"/>
      <c r="F6" s="232"/>
      <c r="G6" s="232"/>
      <c r="H6" s="232"/>
      <c r="I6" s="232"/>
      <c r="J6" s="232"/>
      <c r="K6" s="345"/>
      <c r="L6" s="232"/>
      <c r="M6" s="118"/>
      <c r="N6" s="346"/>
      <c r="O6" s="346"/>
      <c r="P6" s="372"/>
    </row>
    <row r="7" spans="4:20" ht="25.5" customHeight="1">
      <c r="D7" s="475" t="s">
        <v>8</v>
      </c>
      <c r="E7" s="476"/>
      <c r="F7" s="353"/>
      <c r="G7" s="353"/>
      <c r="H7" s="353"/>
      <c r="I7" s="353"/>
      <c r="J7" s="353"/>
      <c r="K7" s="233"/>
      <c r="L7" s="233"/>
      <c r="M7" s="264"/>
      <c r="N7" s="233"/>
      <c r="O7" s="233"/>
      <c r="P7" s="373"/>
    </row>
    <row r="8" spans="4:20" ht="18.75" customHeight="1" thickBot="1">
      <c r="D8" s="477" t="s">
        <v>125</v>
      </c>
      <c r="E8" s="478"/>
      <c r="F8" s="478"/>
      <c r="G8" s="478"/>
      <c r="H8" s="478"/>
      <c r="I8" s="478"/>
      <c r="J8" s="478"/>
      <c r="K8" s="478"/>
      <c r="L8" s="354"/>
      <c r="M8" s="265"/>
      <c r="N8" s="354"/>
      <c r="O8" s="354"/>
      <c r="P8" s="374"/>
    </row>
    <row r="9" spans="4:20" ht="9.75" customHeight="1">
      <c r="D9" s="355"/>
      <c r="E9" s="356"/>
      <c r="F9" s="356"/>
      <c r="G9" s="356"/>
      <c r="H9" s="356"/>
      <c r="I9" s="356"/>
      <c r="J9" s="356"/>
      <c r="K9" s="356"/>
      <c r="L9" s="357"/>
      <c r="M9" s="358"/>
      <c r="N9" s="357"/>
      <c r="O9" s="357"/>
      <c r="P9" s="375"/>
    </row>
    <row r="10" spans="4:20">
      <c r="D10" s="403" t="s">
        <v>57</v>
      </c>
      <c r="E10" s="403"/>
      <c r="F10" s="485" t="s">
        <v>126</v>
      </c>
      <c r="G10" s="485"/>
      <c r="H10" s="403"/>
      <c r="I10" s="403"/>
      <c r="J10" s="403"/>
      <c r="K10" s="403"/>
      <c r="L10" s="403"/>
      <c r="M10" s="404" t="s">
        <v>43</v>
      </c>
      <c r="N10" s="403"/>
      <c r="O10" s="405" t="s">
        <v>55</v>
      </c>
      <c r="P10" s="406"/>
    </row>
    <row r="11" spans="4:20">
      <c r="D11" s="407"/>
      <c r="E11" s="407"/>
      <c r="F11" s="407"/>
      <c r="G11" s="407"/>
      <c r="H11" s="407"/>
      <c r="I11" s="407"/>
      <c r="J11" s="407"/>
      <c r="K11" s="407"/>
      <c r="L11" s="407"/>
      <c r="M11" s="408" t="s">
        <v>124</v>
      </c>
      <c r="N11" s="407"/>
      <c r="O11" s="409" t="s">
        <v>127</v>
      </c>
      <c r="P11" s="410"/>
    </row>
    <row r="12" spans="4:20" ht="50.25" customHeight="1">
      <c r="D12" s="500" t="s">
        <v>9</v>
      </c>
      <c r="E12" s="501"/>
      <c r="F12" s="502"/>
      <c r="G12" s="359" t="s">
        <v>10</v>
      </c>
      <c r="H12" s="500" t="s">
        <v>11</v>
      </c>
      <c r="I12" s="501"/>
      <c r="J12" s="502"/>
      <c r="K12" s="479" t="s">
        <v>122</v>
      </c>
      <c r="L12" s="480"/>
      <c r="M12" s="480"/>
      <c r="N12" s="480"/>
      <c r="O12" s="481"/>
      <c r="P12" s="402">
        <v>0.23530000000000001</v>
      </c>
    </row>
    <row r="13" spans="4:20">
      <c r="D13" s="360" t="s">
        <v>12</v>
      </c>
      <c r="E13" s="361"/>
      <c r="F13" s="362"/>
      <c r="G13" s="360" t="s">
        <v>13</v>
      </c>
      <c r="H13" s="360" t="s">
        <v>14</v>
      </c>
      <c r="I13" s="361"/>
      <c r="J13" s="363">
        <v>8.0000000000000002E-3</v>
      </c>
      <c r="K13" s="347"/>
      <c r="L13" s="348"/>
      <c r="M13" s="348"/>
      <c r="N13" s="348"/>
      <c r="O13" s="348"/>
      <c r="P13" s="376"/>
    </row>
    <row r="14" spans="4:20">
      <c r="D14" s="360" t="s">
        <v>16</v>
      </c>
      <c r="E14" s="361"/>
      <c r="F14" s="362"/>
      <c r="G14" s="360" t="s">
        <v>17</v>
      </c>
      <c r="H14" s="364" t="s">
        <v>18</v>
      </c>
      <c r="I14" s="429"/>
      <c r="J14" s="363">
        <v>9.7000000000000003E-3</v>
      </c>
      <c r="K14" s="351"/>
      <c r="L14" s="232"/>
      <c r="M14" s="365" t="s">
        <v>15</v>
      </c>
      <c r="N14" s="366" t="s">
        <v>59</v>
      </c>
      <c r="O14" s="367"/>
      <c r="P14" s="377"/>
      <c r="S14" s="499"/>
      <c r="T14" s="499"/>
    </row>
    <row r="15" spans="4:20">
      <c r="D15" s="360" t="s">
        <v>44</v>
      </c>
      <c r="E15" s="361"/>
      <c r="F15" s="362"/>
      <c r="G15" s="360" t="s">
        <v>20</v>
      </c>
      <c r="H15" s="360" t="s">
        <v>21</v>
      </c>
      <c r="I15" s="361"/>
      <c r="J15" s="363">
        <v>5.8999999999999999E-3</v>
      </c>
      <c r="K15" s="368"/>
      <c r="L15" s="233"/>
      <c r="M15" s="233"/>
      <c r="N15" s="489" t="s">
        <v>19</v>
      </c>
      <c r="O15" s="489"/>
      <c r="P15" s="373"/>
    </row>
    <row r="16" spans="4:20">
      <c r="D16" s="360" t="s">
        <v>45</v>
      </c>
      <c r="E16" s="361"/>
      <c r="F16" s="362"/>
      <c r="G16" s="360" t="s">
        <v>22</v>
      </c>
      <c r="H16" s="360" t="s">
        <v>46</v>
      </c>
      <c r="I16" s="361"/>
      <c r="J16" s="363">
        <v>3.5000000000000003E-2</v>
      </c>
      <c r="K16" s="511" t="s">
        <v>23</v>
      </c>
      <c r="L16" s="512"/>
      <c r="M16" s="512"/>
      <c r="N16" s="512"/>
      <c r="O16" s="233"/>
      <c r="P16" s="373"/>
    </row>
    <row r="17" spans="2:28" ht="15" customHeight="1">
      <c r="D17" s="360" t="s">
        <v>24</v>
      </c>
      <c r="E17" s="361"/>
      <c r="F17" s="362"/>
      <c r="G17" s="360" t="s">
        <v>25</v>
      </c>
      <c r="H17" s="360" t="s">
        <v>26</v>
      </c>
      <c r="I17" s="361"/>
      <c r="J17" s="363">
        <v>6.5699999999999995E-2</v>
      </c>
      <c r="K17" s="494" t="s">
        <v>56</v>
      </c>
      <c r="L17" s="495"/>
      <c r="M17" s="495"/>
      <c r="N17" s="495"/>
      <c r="O17" s="495"/>
      <c r="P17" s="377"/>
    </row>
    <row r="18" spans="2:28" ht="17.25" customHeight="1">
      <c r="D18" s="360" t="s">
        <v>27</v>
      </c>
      <c r="E18" s="361"/>
      <c r="F18" s="362"/>
      <c r="G18" s="360" t="s">
        <v>28</v>
      </c>
      <c r="H18" s="360"/>
      <c r="I18" s="361"/>
      <c r="J18" s="363">
        <v>0.05</v>
      </c>
      <c r="K18" s="496"/>
      <c r="L18" s="497"/>
      <c r="M18" s="497"/>
      <c r="N18" s="497"/>
      <c r="O18" s="497"/>
      <c r="P18" s="378"/>
    </row>
    <row r="19" spans="2:28">
      <c r="D19" s="506"/>
      <c r="E19" s="507"/>
      <c r="F19" s="507"/>
      <c r="G19" s="507"/>
      <c r="H19" s="507"/>
      <c r="I19" s="507"/>
      <c r="J19" s="507"/>
      <c r="K19" s="507"/>
      <c r="L19" s="507"/>
      <c r="M19" s="507"/>
      <c r="N19" s="507"/>
      <c r="O19" s="507"/>
      <c r="P19" s="508"/>
    </row>
    <row r="20" spans="2:28" ht="18" customHeight="1">
      <c r="D20" s="482" t="s">
        <v>7</v>
      </c>
      <c r="E20" s="503" t="s">
        <v>1</v>
      </c>
      <c r="F20" s="482" t="s">
        <v>2</v>
      </c>
      <c r="G20" s="493" t="s">
        <v>6</v>
      </c>
      <c r="H20" s="493"/>
      <c r="I20" s="493"/>
      <c r="J20" s="493"/>
      <c r="K20" s="493"/>
      <c r="L20" s="493" t="s">
        <v>29</v>
      </c>
      <c r="M20" s="513" t="s">
        <v>30</v>
      </c>
      <c r="N20" s="490" t="s">
        <v>3</v>
      </c>
      <c r="O20" s="491"/>
      <c r="P20" s="492"/>
      <c r="Q20" s="233"/>
      <c r="V20" s="99"/>
      <c r="W20" s="99"/>
      <c r="X20" s="99"/>
      <c r="Y20" s="99"/>
      <c r="Z20" s="99"/>
    </row>
    <row r="21" spans="2:28" ht="22.5" customHeight="1">
      <c r="D21" s="483"/>
      <c r="E21" s="504"/>
      <c r="F21" s="483"/>
      <c r="G21" s="493"/>
      <c r="H21" s="493"/>
      <c r="I21" s="493"/>
      <c r="J21" s="493"/>
      <c r="K21" s="493"/>
      <c r="L21" s="493"/>
      <c r="M21" s="513"/>
      <c r="N21" s="509" t="s">
        <v>4</v>
      </c>
      <c r="O21" s="510"/>
      <c r="P21" s="369" t="s">
        <v>60</v>
      </c>
      <c r="Q21" s="233"/>
      <c r="V21" s="99"/>
      <c r="W21" s="99"/>
      <c r="X21" s="99"/>
      <c r="Y21" s="99"/>
      <c r="Z21" s="99"/>
    </row>
    <row r="22" spans="2:28" ht="27" customHeight="1">
      <c r="D22" s="484"/>
      <c r="E22" s="505"/>
      <c r="F22" s="484"/>
      <c r="G22" s="493"/>
      <c r="H22" s="493"/>
      <c r="I22" s="493"/>
      <c r="J22" s="493"/>
      <c r="K22" s="493"/>
      <c r="L22" s="493"/>
      <c r="M22" s="513"/>
      <c r="N22" s="370" t="s">
        <v>5</v>
      </c>
      <c r="O22" s="370" t="s">
        <v>166</v>
      </c>
      <c r="P22" s="370" t="s">
        <v>167</v>
      </c>
      <c r="Q22" s="233"/>
      <c r="V22" s="99"/>
      <c r="W22" s="99"/>
      <c r="X22" s="99"/>
      <c r="Y22" s="99"/>
      <c r="Z22" s="99"/>
    </row>
    <row r="23" spans="2:28" ht="3.75" customHeight="1" thickBot="1">
      <c r="D23" s="486"/>
      <c r="E23" s="487"/>
      <c r="F23" s="487"/>
      <c r="G23" s="487"/>
      <c r="H23" s="487"/>
      <c r="I23" s="487"/>
      <c r="J23" s="487"/>
      <c r="K23" s="487"/>
      <c r="L23" s="487"/>
      <c r="M23" s="487"/>
      <c r="N23" s="487"/>
      <c r="O23" s="487"/>
      <c r="P23" s="488"/>
      <c r="Q23" s="233"/>
      <c r="V23" s="99"/>
      <c r="W23" s="99"/>
      <c r="X23" s="99"/>
      <c r="Y23" s="99"/>
      <c r="Z23" s="99"/>
    </row>
    <row r="24" spans="2:28" ht="25.5" customHeight="1" thickBot="1">
      <c r="B24" s="94" t="s">
        <v>74</v>
      </c>
      <c r="D24" s="379">
        <v>1</v>
      </c>
      <c r="E24" s="100"/>
      <c r="F24" s="100"/>
      <c r="G24" s="520" t="s">
        <v>225</v>
      </c>
      <c r="H24" s="521"/>
      <c r="I24" s="521"/>
      <c r="J24" s="521"/>
      <c r="K24" s="522"/>
      <c r="L24" s="101"/>
      <c r="M24" s="102"/>
      <c r="N24" s="103"/>
      <c r="O24" s="104">
        <f>SUM(O25:O26)</f>
        <v>0</v>
      </c>
      <c r="P24" s="104">
        <f>SUM(P25:P26)</f>
        <v>0</v>
      </c>
      <c r="Q24" s="233"/>
      <c r="V24" s="99"/>
      <c r="W24" s="99"/>
      <c r="X24" s="99"/>
      <c r="Y24" s="99"/>
      <c r="Z24" s="99"/>
    </row>
    <row r="25" spans="2:28" ht="25.5" customHeight="1">
      <c r="D25" s="115" t="s">
        <v>61</v>
      </c>
      <c r="E25" s="106" t="s">
        <v>224</v>
      </c>
      <c r="F25" s="115" t="s">
        <v>163</v>
      </c>
      <c r="G25" s="527" t="s">
        <v>221</v>
      </c>
      <c r="H25" s="528"/>
      <c r="I25" s="528"/>
      <c r="J25" s="528"/>
      <c r="K25" s="529"/>
      <c r="L25" s="106" t="s">
        <v>64</v>
      </c>
      <c r="M25" s="107">
        <v>5</v>
      </c>
      <c r="N25" s="443">
        <v>0</v>
      </c>
      <c r="O25" s="112">
        <f>M25*N25</f>
        <v>0</v>
      </c>
      <c r="P25" s="111">
        <f>O25*1.2353</f>
        <v>0</v>
      </c>
      <c r="Q25" s="233"/>
      <c r="V25" s="99"/>
      <c r="W25" s="99"/>
      <c r="X25" s="99"/>
      <c r="Y25" s="99"/>
      <c r="Z25" s="99"/>
    </row>
    <row r="26" spans="2:28" ht="33.75" customHeight="1">
      <c r="D26" s="115" t="s">
        <v>62</v>
      </c>
      <c r="E26" s="200" t="s">
        <v>223</v>
      </c>
      <c r="F26" s="115" t="s">
        <v>163</v>
      </c>
      <c r="G26" s="530" t="s">
        <v>222</v>
      </c>
      <c r="H26" s="531"/>
      <c r="I26" s="531"/>
      <c r="J26" s="531"/>
      <c r="K26" s="532"/>
      <c r="L26" s="200" t="s">
        <v>67</v>
      </c>
      <c r="M26" s="442">
        <f>Quant.!J17</f>
        <v>340</v>
      </c>
      <c r="N26" s="443">
        <v>0</v>
      </c>
      <c r="O26" s="112">
        <f>M26*N26</f>
        <v>0</v>
      </c>
      <c r="P26" s="111">
        <f>O26*1.2353</f>
        <v>0</v>
      </c>
      <c r="Q26" s="233"/>
      <c r="V26" s="99"/>
      <c r="W26" s="99"/>
      <c r="X26" s="99"/>
      <c r="Y26" s="99"/>
      <c r="Z26" s="99"/>
    </row>
    <row r="27" spans="2:28" ht="25.5" customHeight="1">
      <c r="B27" s="94" t="s">
        <v>75</v>
      </c>
      <c r="D27" s="221">
        <v>2</v>
      </c>
      <c r="E27" s="222"/>
      <c r="F27" s="222"/>
      <c r="G27" s="514" t="s">
        <v>174</v>
      </c>
      <c r="H27" s="515"/>
      <c r="I27" s="515"/>
      <c r="J27" s="515"/>
      <c r="K27" s="516"/>
      <c r="L27" s="223"/>
      <c r="M27" s="224"/>
      <c r="N27" s="225"/>
      <c r="O27" s="188">
        <f>SUM(O28:O36)</f>
        <v>0</v>
      </c>
      <c r="P27" s="188">
        <f>SUM(P28:P36)</f>
        <v>0</v>
      </c>
      <c r="Q27" s="233"/>
      <c r="V27" s="99"/>
      <c r="W27" s="99"/>
      <c r="X27" s="99"/>
      <c r="Y27" s="99"/>
      <c r="Z27" s="99"/>
    </row>
    <row r="28" spans="2:28" ht="26.25" customHeight="1">
      <c r="D28" s="115" t="s">
        <v>77</v>
      </c>
      <c r="E28" s="106" t="s">
        <v>155</v>
      </c>
      <c r="F28" s="115" t="s">
        <v>163</v>
      </c>
      <c r="G28" s="517" t="s">
        <v>135</v>
      </c>
      <c r="H28" s="518"/>
      <c r="I28" s="518"/>
      <c r="J28" s="518"/>
      <c r="K28" s="519"/>
      <c r="L28" s="105" t="s">
        <v>136</v>
      </c>
      <c r="M28" s="113">
        <f>Quant.!J24</f>
        <v>1</v>
      </c>
      <c r="N28" s="258">
        <v>0</v>
      </c>
      <c r="O28" s="112">
        <f>M28*N28</f>
        <v>0</v>
      </c>
      <c r="P28" s="111">
        <f t="shared" ref="P28:P36" si="0">O28*1.2353</f>
        <v>0</v>
      </c>
      <c r="Q28" s="233"/>
      <c r="S28" s="98"/>
      <c r="V28" s="99"/>
      <c r="W28" s="99"/>
      <c r="X28" s="99"/>
      <c r="Y28" s="99"/>
      <c r="Z28" s="99"/>
      <c r="AA28" s="99"/>
      <c r="AB28" s="99"/>
    </row>
    <row r="29" spans="2:28" ht="30.75" customHeight="1">
      <c r="D29" s="115" t="s">
        <v>107</v>
      </c>
      <c r="E29" s="106" t="s">
        <v>157</v>
      </c>
      <c r="F29" s="115" t="s">
        <v>163</v>
      </c>
      <c r="G29" s="471" t="s">
        <v>158</v>
      </c>
      <c r="H29" s="472"/>
      <c r="I29" s="472"/>
      <c r="J29" s="472"/>
      <c r="K29" s="473"/>
      <c r="L29" s="105" t="s">
        <v>67</v>
      </c>
      <c r="M29" s="217">
        <f>Quant.!J25</f>
        <v>1320</v>
      </c>
      <c r="N29" s="174">
        <v>0</v>
      </c>
      <c r="O29" s="112">
        <f t="shared" ref="O29:O36" si="1">M29*N29</f>
        <v>0</v>
      </c>
      <c r="P29" s="111">
        <f t="shared" si="0"/>
        <v>0</v>
      </c>
      <c r="Q29" s="233"/>
      <c r="V29" s="99"/>
      <c r="W29" s="99"/>
      <c r="X29" s="99"/>
      <c r="Y29" s="99"/>
      <c r="Z29" s="99"/>
      <c r="AA29" s="99"/>
      <c r="AB29" s="99"/>
    </row>
    <row r="30" spans="2:28" ht="26.25" customHeight="1">
      <c r="D30" s="115" t="s">
        <v>152</v>
      </c>
      <c r="E30" s="106" t="s">
        <v>138</v>
      </c>
      <c r="F30" s="115" t="s">
        <v>163</v>
      </c>
      <c r="G30" s="471" t="s">
        <v>139</v>
      </c>
      <c r="H30" s="472"/>
      <c r="I30" s="472"/>
      <c r="J30" s="472"/>
      <c r="K30" s="473"/>
      <c r="L30" s="105" t="s">
        <v>66</v>
      </c>
      <c r="M30" s="217">
        <f>Quant.!J31</f>
        <v>126.9345</v>
      </c>
      <c r="N30" s="174">
        <v>0</v>
      </c>
      <c r="O30" s="112">
        <f t="shared" si="1"/>
        <v>0</v>
      </c>
      <c r="P30" s="111">
        <f t="shared" si="0"/>
        <v>0</v>
      </c>
      <c r="Q30" s="233"/>
      <c r="V30" s="99"/>
      <c r="W30" s="99"/>
      <c r="X30" s="99"/>
      <c r="Y30" s="99"/>
      <c r="Z30" s="99"/>
      <c r="AA30" s="99"/>
      <c r="AB30" s="99"/>
    </row>
    <row r="31" spans="2:28" ht="33.75" customHeight="1">
      <c r="D31" s="115" t="s">
        <v>153</v>
      </c>
      <c r="E31" s="106" t="s">
        <v>226</v>
      </c>
      <c r="F31" s="115" t="s">
        <v>163</v>
      </c>
      <c r="G31" s="470" t="s">
        <v>105</v>
      </c>
      <c r="H31" s="470"/>
      <c r="I31" s="470"/>
      <c r="J31" s="470"/>
      <c r="K31" s="470"/>
      <c r="L31" s="106" t="s">
        <v>106</v>
      </c>
      <c r="M31" s="217">
        <f>Quant.!J37</f>
        <v>2090.88</v>
      </c>
      <c r="N31" s="174">
        <v>0</v>
      </c>
      <c r="O31" s="112">
        <f t="shared" si="1"/>
        <v>0</v>
      </c>
      <c r="P31" s="111">
        <f t="shared" si="0"/>
        <v>0</v>
      </c>
      <c r="Q31" s="233"/>
      <c r="V31" s="99"/>
      <c r="W31" s="99"/>
      <c r="X31" s="99"/>
      <c r="Y31" s="99"/>
      <c r="Z31" s="99"/>
      <c r="AA31" s="99"/>
      <c r="AB31" s="99"/>
    </row>
    <row r="32" spans="2:28" ht="35.25" customHeight="1">
      <c r="D32" s="115" t="s">
        <v>168</v>
      </c>
      <c r="E32" s="106" t="s">
        <v>227</v>
      </c>
      <c r="F32" s="115" t="s">
        <v>163</v>
      </c>
      <c r="G32" s="471" t="s">
        <v>108</v>
      </c>
      <c r="H32" s="472"/>
      <c r="I32" s="472"/>
      <c r="J32" s="472"/>
      <c r="K32" s="473"/>
      <c r="L32" s="105" t="s">
        <v>106</v>
      </c>
      <c r="M32" s="217">
        <f>Quant.!J45</f>
        <v>356.4</v>
      </c>
      <c r="N32" s="174">
        <v>0</v>
      </c>
      <c r="O32" s="112">
        <f t="shared" si="1"/>
        <v>0</v>
      </c>
      <c r="P32" s="111">
        <f t="shared" si="0"/>
        <v>0</v>
      </c>
      <c r="Q32" s="233"/>
      <c r="V32" s="99"/>
      <c r="W32" s="99"/>
      <c r="X32" s="99"/>
      <c r="Y32" s="99"/>
      <c r="Z32" s="99"/>
      <c r="AA32" s="99"/>
      <c r="AB32" s="99"/>
    </row>
    <row r="33" spans="1:28" ht="45.75" customHeight="1">
      <c r="D33" s="115" t="s">
        <v>169</v>
      </c>
      <c r="E33" s="200" t="s">
        <v>228</v>
      </c>
      <c r="F33" s="115" t="s">
        <v>163</v>
      </c>
      <c r="G33" s="470" t="s">
        <v>230</v>
      </c>
      <c r="H33" s="470"/>
      <c r="I33" s="470"/>
      <c r="J33" s="470"/>
      <c r="K33" s="470"/>
      <c r="L33" s="106" t="s">
        <v>64</v>
      </c>
      <c r="M33" s="219">
        <f>Quant.!J54</f>
        <v>504.79999999999995</v>
      </c>
      <c r="N33" s="220">
        <v>0</v>
      </c>
      <c r="O33" s="112">
        <f t="shared" si="1"/>
        <v>0</v>
      </c>
      <c r="P33" s="111">
        <f t="shared" si="0"/>
        <v>0</v>
      </c>
      <c r="Q33" s="233"/>
      <c r="V33" s="99"/>
      <c r="W33" s="99"/>
      <c r="X33" s="99"/>
      <c r="Y33" s="99"/>
      <c r="Z33" s="99"/>
      <c r="AA33" s="99"/>
      <c r="AB33" s="99"/>
    </row>
    <row r="34" spans="1:28" ht="33.75" customHeight="1">
      <c r="D34" s="115" t="s">
        <v>170</v>
      </c>
      <c r="E34" s="106" t="s">
        <v>231</v>
      </c>
      <c r="F34" s="115" t="s">
        <v>163</v>
      </c>
      <c r="G34" s="470" t="s">
        <v>102</v>
      </c>
      <c r="H34" s="470" t="s">
        <v>103</v>
      </c>
      <c r="I34" s="470"/>
      <c r="J34" s="470" t="s">
        <v>103</v>
      </c>
      <c r="K34" s="470" t="s">
        <v>103</v>
      </c>
      <c r="L34" s="106" t="s">
        <v>66</v>
      </c>
      <c r="M34" s="217">
        <f>Quant.!J78</f>
        <v>114.16</v>
      </c>
      <c r="N34" s="174">
        <v>0</v>
      </c>
      <c r="O34" s="112">
        <f t="shared" si="1"/>
        <v>0</v>
      </c>
      <c r="P34" s="111">
        <f t="shared" si="0"/>
        <v>0</v>
      </c>
      <c r="Q34" s="233"/>
      <c r="V34" s="99"/>
      <c r="W34" s="99"/>
      <c r="X34" s="99"/>
      <c r="Y34" s="99"/>
      <c r="Z34" s="99"/>
      <c r="AA34" s="99"/>
      <c r="AB34" s="99"/>
    </row>
    <row r="35" spans="1:28" ht="25.5" customHeight="1">
      <c r="A35" s="106"/>
      <c r="D35" s="115" t="s">
        <v>171</v>
      </c>
      <c r="E35" s="106" t="s">
        <v>233</v>
      </c>
      <c r="F35" s="115" t="s">
        <v>163</v>
      </c>
      <c r="G35" s="523" t="s">
        <v>232</v>
      </c>
      <c r="H35" s="523" t="s">
        <v>104</v>
      </c>
      <c r="I35" s="523"/>
      <c r="J35" s="523" t="s">
        <v>104</v>
      </c>
      <c r="K35" s="523" t="s">
        <v>104</v>
      </c>
      <c r="L35" s="105" t="s">
        <v>229</v>
      </c>
      <c r="M35" s="217">
        <f>Quant.!J84</f>
        <v>228.32</v>
      </c>
      <c r="N35" s="174">
        <v>0</v>
      </c>
      <c r="O35" s="112">
        <f t="shared" si="1"/>
        <v>0</v>
      </c>
      <c r="P35" s="111">
        <f t="shared" si="0"/>
        <v>0</v>
      </c>
      <c r="Q35" s="233"/>
      <c r="V35" s="99"/>
      <c r="W35" s="99"/>
      <c r="X35" s="99"/>
      <c r="Y35" s="99"/>
      <c r="Z35" s="99"/>
      <c r="AA35" s="99"/>
      <c r="AB35" s="99"/>
    </row>
    <row r="36" spans="1:28" ht="40.5" customHeight="1">
      <c r="D36" s="115" t="s">
        <v>172</v>
      </c>
      <c r="E36" s="106" t="s">
        <v>235</v>
      </c>
      <c r="F36" s="115" t="s">
        <v>163</v>
      </c>
      <c r="G36" s="471" t="s">
        <v>234</v>
      </c>
      <c r="H36" s="472"/>
      <c r="I36" s="472"/>
      <c r="J36" s="472"/>
      <c r="K36" s="473"/>
      <c r="L36" s="105" t="s">
        <v>66</v>
      </c>
      <c r="M36" s="217">
        <f>Quant.!J90</f>
        <v>51.800000000000004</v>
      </c>
      <c r="N36" s="174">
        <v>0</v>
      </c>
      <c r="O36" s="112">
        <f t="shared" si="1"/>
        <v>0</v>
      </c>
      <c r="P36" s="111">
        <f t="shared" si="0"/>
        <v>0</v>
      </c>
      <c r="Q36" s="233"/>
      <c r="V36" s="99"/>
      <c r="W36" s="99"/>
      <c r="X36" s="99"/>
      <c r="Y36" s="99"/>
      <c r="Z36" s="99"/>
      <c r="AA36" s="99"/>
      <c r="AB36" s="99"/>
    </row>
    <row r="37" spans="1:28" ht="25.5" customHeight="1">
      <c r="B37" s="94" t="s">
        <v>75</v>
      </c>
      <c r="D37" s="221">
        <v>3</v>
      </c>
      <c r="E37" s="222"/>
      <c r="F37" s="222"/>
      <c r="G37" s="514" t="s">
        <v>173</v>
      </c>
      <c r="H37" s="515"/>
      <c r="I37" s="515"/>
      <c r="J37" s="515"/>
      <c r="K37" s="516"/>
      <c r="L37" s="223"/>
      <c r="M37" s="224"/>
      <c r="N37" s="225"/>
      <c r="O37" s="188">
        <f>SUM(O38:O51)</f>
        <v>0</v>
      </c>
      <c r="P37" s="188">
        <f>SUM(P38:P51)</f>
        <v>0</v>
      </c>
      <c r="Q37" s="233"/>
      <c r="V37" s="99"/>
      <c r="W37" s="99"/>
      <c r="X37" s="99"/>
      <c r="Y37" s="99"/>
      <c r="Z37" s="99"/>
    </row>
    <row r="38" spans="1:28" ht="35.25" customHeight="1">
      <c r="D38" s="115" t="s">
        <v>78</v>
      </c>
      <c r="E38" s="106" t="s">
        <v>155</v>
      </c>
      <c r="F38" s="115" t="s">
        <v>163</v>
      </c>
      <c r="G38" s="470" t="s">
        <v>156</v>
      </c>
      <c r="H38" s="470"/>
      <c r="I38" s="470"/>
      <c r="J38" s="470"/>
      <c r="K38" s="470"/>
      <c r="L38" s="105" t="s">
        <v>136</v>
      </c>
      <c r="M38" s="217">
        <v>1</v>
      </c>
      <c r="N38" s="174">
        <v>0</v>
      </c>
      <c r="O38" s="112">
        <f>M38*N38</f>
        <v>0</v>
      </c>
      <c r="P38" s="111">
        <f t="shared" ref="P38:P50" si="2">O38*1.2353</f>
        <v>0</v>
      </c>
      <c r="Q38" s="233"/>
      <c r="V38" s="99"/>
      <c r="W38" s="99"/>
      <c r="X38" s="99"/>
      <c r="Y38" s="99"/>
      <c r="Z38" s="99"/>
      <c r="AA38" s="99"/>
      <c r="AB38" s="99"/>
    </row>
    <row r="39" spans="1:28" ht="27" customHeight="1">
      <c r="D39" s="115" t="s">
        <v>79</v>
      </c>
      <c r="E39" s="106" t="s">
        <v>237</v>
      </c>
      <c r="F39" s="115" t="s">
        <v>163</v>
      </c>
      <c r="G39" s="470" t="s">
        <v>236</v>
      </c>
      <c r="H39" s="470"/>
      <c r="I39" s="470"/>
      <c r="J39" s="470"/>
      <c r="K39" s="470"/>
      <c r="L39" s="105" t="s">
        <v>67</v>
      </c>
      <c r="M39" s="217">
        <f>Quant.!J98</f>
        <v>196</v>
      </c>
      <c r="N39" s="174">
        <v>0</v>
      </c>
      <c r="O39" s="112">
        <f t="shared" ref="O39:O50" si="3">M39*N39</f>
        <v>0</v>
      </c>
      <c r="P39" s="111">
        <f t="shared" si="2"/>
        <v>0</v>
      </c>
      <c r="Q39" s="233"/>
      <c r="V39" s="99"/>
      <c r="W39" s="99"/>
      <c r="X39" s="99"/>
      <c r="Y39" s="99"/>
      <c r="Z39" s="99"/>
      <c r="AA39" s="99"/>
      <c r="AB39" s="99"/>
    </row>
    <row r="40" spans="1:28" ht="27.75" customHeight="1">
      <c r="D40" s="115" t="s">
        <v>238</v>
      </c>
      <c r="E40" s="106" t="s">
        <v>138</v>
      </c>
      <c r="F40" s="115" t="s">
        <v>163</v>
      </c>
      <c r="G40" s="471" t="s">
        <v>139</v>
      </c>
      <c r="H40" s="472"/>
      <c r="I40" s="472"/>
      <c r="J40" s="472"/>
      <c r="K40" s="473"/>
      <c r="L40" s="106" t="s">
        <v>66</v>
      </c>
      <c r="M40" s="217">
        <f>Quant.!J104</f>
        <v>6.1544000000000008</v>
      </c>
      <c r="N40" s="174">
        <v>0</v>
      </c>
      <c r="O40" s="112">
        <f t="shared" si="3"/>
        <v>0</v>
      </c>
      <c r="P40" s="111">
        <f t="shared" si="2"/>
        <v>0</v>
      </c>
      <c r="Q40" s="233"/>
      <c r="V40" s="99"/>
      <c r="W40" s="99"/>
      <c r="X40" s="99"/>
      <c r="Y40" s="99"/>
      <c r="Z40" s="99"/>
      <c r="AA40" s="99"/>
      <c r="AB40" s="99"/>
    </row>
    <row r="41" spans="1:28" ht="25.5" customHeight="1">
      <c r="A41" s="106"/>
      <c r="D41" s="115" t="s">
        <v>80</v>
      </c>
      <c r="E41" s="106" t="s">
        <v>226</v>
      </c>
      <c r="F41" s="115" t="s">
        <v>163</v>
      </c>
      <c r="G41" s="470" t="s">
        <v>105</v>
      </c>
      <c r="H41" s="470"/>
      <c r="I41" s="470"/>
      <c r="J41" s="470"/>
      <c r="K41" s="470"/>
      <c r="L41" s="106" t="s">
        <v>106</v>
      </c>
      <c r="M41" s="217">
        <f>Quant.!J110</f>
        <v>1251.76</v>
      </c>
      <c r="N41" s="174">
        <v>0</v>
      </c>
      <c r="O41" s="112">
        <f t="shared" si="3"/>
        <v>0</v>
      </c>
      <c r="P41" s="111">
        <f t="shared" si="2"/>
        <v>0</v>
      </c>
      <c r="Q41" s="233"/>
      <c r="V41" s="99"/>
      <c r="W41" s="99"/>
      <c r="X41" s="99"/>
      <c r="Y41" s="99"/>
      <c r="Z41" s="99"/>
      <c r="AA41" s="99"/>
      <c r="AB41" s="99"/>
    </row>
    <row r="42" spans="1:28" ht="40.5" customHeight="1">
      <c r="D42" s="115" t="s">
        <v>81</v>
      </c>
      <c r="E42" s="106" t="s">
        <v>227</v>
      </c>
      <c r="F42" s="115" t="s">
        <v>163</v>
      </c>
      <c r="G42" s="471" t="s">
        <v>108</v>
      </c>
      <c r="H42" s="472"/>
      <c r="I42" s="472"/>
      <c r="J42" s="472"/>
      <c r="K42" s="473"/>
      <c r="L42" s="105" t="s">
        <v>106</v>
      </c>
      <c r="M42" s="217">
        <f>Quant.!J125</f>
        <v>435.42</v>
      </c>
      <c r="N42" s="174">
        <v>0</v>
      </c>
      <c r="O42" s="112">
        <f t="shared" si="3"/>
        <v>0</v>
      </c>
      <c r="P42" s="111">
        <f t="shared" si="2"/>
        <v>0</v>
      </c>
      <c r="Q42" s="233"/>
      <c r="V42" s="99"/>
      <c r="W42" s="99"/>
      <c r="X42" s="99"/>
      <c r="Y42" s="99"/>
      <c r="Z42" s="99"/>
      <c r="AA42" s="99"/>
      <c r="AB42" s="99"/>
    </row>
    <row r="43" spans="1:28" ht="40.5" customHeight="1">
      <c r="D43" s="115" t="s">
        <v>239</v>
      </c>
      <c r="E43" s="200" t="s">
        <v>228</v>
      </c>
      <c r="F43" s="115" t="s">
        <v>163</v>
      </c>
      <c r="G43" s="470" t="s">
        <v>230</v>
      </c>
      <c r="H43" s="470"/>
      <c r="I43" s="470"/>
      <c r="J43" s="470"/>
      <c r="K43" s="470"/>
      <c r="L43" s="390" t="s">
        <v>229</v>
      </c>
      <c r="M43" s="219">
        <f>Quant.!J125</f>
        <v>435.42</v>
      </c>
      <c r="N43" s="220">
        <v>0</v>
      </c>
      <c r="O43" s="112">
        <f t="shared" si="3"/>
        <v>0</v>
      </c>
      <c r="P43" s="111">
        <f t="shared" si="2"/>
        <v>0</v>
      </c>
      <c r="Q43" s="233"/>
      <c r="V43" s="99"/>
      <c r="W43" s="99"/>
      <c r="X43" s="99"/>
      <c r="Y43" s="99"/>
      <c r="Z43" s="99"/>
      <c r="AA43" s="99"/>
      <c r="AB43" s="99"/>
    </row>
    <row r="44" spans="1:28" ht="40.5" customHeight="1">
      <c r="D44" s="115" t="s">
        <v>240</v>
      </c>
      <c r="E44" s="106" t="s">
        <v>231</v>
      </c>
      <c r="F44" s="115" t="s">
        <v>163</v>
      </c>
      <c r="G44" s="470" t="s">
        <v>102</v>
      </c>
      <c r="H44" s="470" t="s">
        <v>103</v>
      </c>
      <c r="I44" s="470"/>
      <c r="J44" s="470" t="s">
        <v>103</v>
      </c>
      <c r="K44" s="470" t="s">
        <v>103</v>
      </c>
      <c r="L44" s="106" t="s">
        <v>66</v>
      </c>
      <c r="M44" s="217">
        <f>Quant.!J156</f>
        <v>31.5</v>
      </c>
      <c r="N44" s="174">
        <v>0</v>
      </c>
      <c r="O44" s="112">
        <f t="shared" si="3"/>
        <v>0</v>
      </c>
      <c r="P44" s="111">
        <f t="shared" si="2"/>
        <v>0</v>
      </c>
      <c r="Q44" s="233"/>
      <c r="V44" s="99"/>
      <c r="W44" s="99"/>
      <c r="X44" s="99"/>
      <c r="Y44" s="99"/>
      <c r="Z44" s="99"/>
      <c r="AA44" s="99"/>
      <c r="AB44" s="99"/>
    </row>
    <row r="45" spans="1:28" ht="40.5" customHeight="1">
      <c r="D45" s="115" t="s">
        <v>241</v>
      </c>
      <c r="E45" s="106" t="s">
        <v>233</v>
      </c>
      <c r="F45" s="115" t="s">
        <v>163</v>
      </c>
      <c r="G45" s="523" t="s">
        <v>232</v>
      </c>
      <c r="H45" s="523" t="s">
        <v>104</v>
      </c>
      <c r="I45" s="523"/>
      <c r="J45" s="523" t="s">
        <v>104</v>
      </c>
      <c r="K45" s="523" t="s">
        <v>104</v>
      </c>
      <c r="L45" s="105" t="s">
        <v>229</v>
      </c>
      <c r="M45" s="217">
        <f>Quant.!J165</f>
        <v>105</v>
      </c>
      <c r="N45" s="174">
        <v>0</v>
      </c>
      <c r="O45" s="112">
        <f t="shared" si="3"/>
        <v>0</v>
      </c>
      <c r="P45" s="111">
        <f t="shared" si="2"/>
        <v>0</v>
      </c>
      <c r="Q45" s="233"/>
      <c r="V45" s="99"/>
      <c r="W45" s="99"/>
      <c r="X45" s="99"/>
      <c r="Y45" s="99"/>
      <c r="Z45" s="99"/>
      <c r="AA45" s="99"/>
      <c r="AB45" s="99"/>
    </row>
    <row r="46" spans="1:28" ht="40.5" customHeight="1">
      <c r="D46" s="115" t="s">
        <v>242</v>
      </c>
      <c r="E46" s="106" t="s">
        <v>235</v>
      </c>
      <c r="F46" s="115" t="s">
        <v>163</v>
      </c>
      <c r="G46" s="471" t="s">
        <v>234</v>
      </c>
      <c r="H46" s="472"/>
      <c r="I46" s="472"/>
      <c r="J46" s="472"/>
      <c r="K46" s="473"/>
      <c r="L46" s="178" t="s">
        <v>258</v>
      </c>
      <c r="M46" s="217">
        <f>Quant.!J170</f>
        <v>18</v>
      </c>
      <c r="N46" s="174">
        <v>0</v>
      </c>
      <c r="O46" s="112">
        <f t="shared" si="3"/>
        <v>0</v>
      </c>
      <c r="P46" s="111">
        <f t="shared" si="2"/>
        <v>0</v>
      </c>
      <c r="Q46" s="233"/>
      <c r="V46" s="99"/>
      <c r="W46" s="99"/>
      <c r="X46" s="99"/>
      <c r="Y46" s="99"/>
      <c r="Z46" s="99"/>
      <c r="AA46" s="99"/>
      <c r="AB46" s="99"/>
    </row>
    <row r="47" spans="1:28" ht="48.75" customHeight="1">
      <c r="D47" s="115" t="s">
        <v>243</v>
      </c>
      <c r="E47" s="106" t="s">
        <v>288</v>
      </c>
      <c r="F47" s="115" t="s">
        <v>163</v>
      </c>
      <c r="G47" s="470" t="s">
        <v>146</v>
      </c>
      <c r="H47" s="470"/>
      <c r="I47" s="470"/>
      <c r="J47" s="470"/>
      <c r="K47" s="470"/>
      <c r="L47" s="105" t="s">
        <v>64</v>
      </c>
      <c r="M47" s="217">
        <f>Quant.!J176</f>
        <v>300</v>
      </c>
      <c r="N47" s="174">
        <v>0</v>
      </c>
      <c r="O47" s="112">
        <f t="shared" si="3"/>
        <v>0</v>
      </c>
      <c r="P47" s="111">
        <f t="shared" si="2"/>
        <v>0</v>
      </c>
      <c r="Q47" s="233"/>
      <c r="V47" s="99"/>
      <c r="W47" s="99"/>
      <c r="X47" s="99"/>
      <c r="Y47" s="99"/>
      <c r="Z47" s="99"/>
      <c r="AA47" s="99"/>
      <c r="AB47" s="99"/>
    </row>
    <row r="48" spans="1:28" ht="50.25" customHeight="1">
      <c r="D48" s="115" t="s">
        <v>244</v>
      </c>
      <c r="E48" s="176" t="s">
        <v>289</v>
      </c>
      <c r="F48" s="115" t="s">
        <v>163</v>
      </c>
      <c r="G48" s="470" t="s">
        <v>149</v>
      </c>
      <c r="H48" s="470"/>
      <c r="I48" s="470"/>
      <c r="J48" s="470"/>
      <c r="K48" s="470"/>
      <c r="L48" s="178" t="s">
        <v>64</v>
      </c>
      <c r="M48" s="217">
        <f>Quant.!J180</f>
        <v>360</v>
      </c>
      <c r="N48" s="174">
        <v>0</v>
      </c>
      <c r="O48" s="112">
        <f t="shared" si="3"/>
        <v>0</v>
      </c>
      <c r="P48" s="111">
        <f t="shared" si="2"/>
        <v>0</v>
      </c>
      <c r="Q48" s="233"/>
      <c r="V48" s="99"/>
      <c r="W48" s="99"/>
      <c r="X48" s="99"/>
      <c r="Y48" s="99"/>
      <c r="Z48" s="99"/>
      <c r="AA48" s="99"/>
      <c r="AB48" s="99"/>
    </row>
    <row r="49" spans="2:28" ht="35.25" customHeight="1">
      <c r="D49" s="115" t="s">
        <v>245</v>
      </c>
      <c r="E49" s="106" t="s">
        <v>290</v>
      </c>
      <c r="F49" s="115" t="s">
        <v>163</v>
      </c>
      <c r="G49" s="470" t="s">
        <v>150</v>
      </c>
      <c r="H49" s="470"/>
      <c r="I49" s="470"/>
      <c r="J49" s="470"/>
      <c r="K49" s="470"/>
      <c r="L49" s="178" t="s">
        <v>64</v>
      </c>
      <c r="M49" s="217">
        <f>Quant.!J184</f>
        <v>360</v>
      </c>
      <c r="N49" s="174">
        <v>0</v>
      </c>
      <c r="O49" s="112">
        <f t="shared" si="3"/>
        <v>0</v>
      </c>
      <c r="P49" s="111">
        <f t="shared" si="2"/>
        <v>0</v>
      </c>
      <c r="Q49" s="233"/>
      <c r="V49" s="99"/>
      <c r="W49" s="99"/>
      <c r="X49" s="99"/>
      <c r="Y49" s="99"/>
      <c r="Z49" s="99"/>
      <c r="AA49" s="99"/>
      <c r="AB49" s="99"/>
    </row>
    <row r="50" spans="2:28" ht="24.75" customHeight="1">
      <c r="D50" s="115" t="s">
        <v>246</v>
      </c>
      <c r="E50" s="106" t="s">
        <v>292</v>
      </c>
      <c r="F50" s="115" t="s">
        <v>163</v>
      </c>
      <c r="G50" s="471" t="s">
        <v>151</v>
      </c>
      <c r="H50" s="472"/>
      <c r="I50" s="472"/>
      <c r="J50" s="472"/>
      <c r="K50" s="473"/>
      <c r="L50" s="105" t="s">
        <v>64</v>
      </c>
      <c r="M50" s="217">
        <f>Quant.!J185</f>
        <v>360</v>
      </c>
      <c r="N50" s="174">
        <v>0</v>
      </c>
      <c r="O50" s="112">
        <f t="shared" si="3"/>
        <v>0</v>
      </c>
      <c r="P50" s="111">
        <f t="shared" si="2"/>
        <v>0</v>
      </c>
      <c r="Q50" s="233"/>
      <c r="V50" s="99"/>
      <c r="W50" s="99"/>
      <c r="X50" s="99"/>
      <c r="Y50" s="99"/>
      <c r="Z50" s="99"/>
      <c r="AA50" s="99"/>
      <c r="AB50" s="99"/>
    </row>
    <row r="51" spans="2:28" ht="24.75" customHeight="1">
      <c r="D51" s="115" t="s">
        <v>247</v>
      </c>
      <c r="E51" s="106" t="s">
        <v>291</v>
      </c>
      <c r="F51" s="115" t="s">
        <v>163</v>
      </c>
      <c r="G51" s="471" t="s">
        <v>293</v>
      </c>
      <c r="H51" s="472"/>
      <c r="I51" s="472"/>
      <c r="J51" s="472"/>
      <c r="K51" s="473"/>
      <c r="L51" s="105" t="s">
        <v>64</v>
      </c>
      <c r="M51" s="217">
        <f>Quant.!J191</f>
        <v>360</v>
      </c>
      <c r="N51" s="174">
        <v>0</v>
      </c>
      <c r="O51" s="112">
        <f>M51*N51</f>
        <v>0</v>
      </c>
      <c r="P51" s="111">
        <f>O51*1.2353</f>
        <v>0</v>
      </c>
      <c r="Q51" s="233"/>
      <c r="V51" s="99"/>
      <c r="W51" s="99"/>
      <c r="X51" s="99"/>
      <c r="Y51" s="99"/>
      <c r="Z51" s="99"/>
      <c r="AA51" s="99"/>
      <c r="AB51" s="99"/>
    </row>
    <row r="52" spans="2:28" ht="25.5" customHeight="1">
      <c r="B52" s="94" t="s">
        <v>75</v>
      </c>
      <c r="D52" s="221">
        <v>4</v>
      </c>
      <c r="E52" s="222"/>
      <c r="F52" s="222"/>
      <c r="G52" s="514" t="s">
        <v>219</v>
      </c>
      <c r="H52" s="515"/>
      <c r="I52" s="515"/>
      <c r="J52" s="515"/>
      <c r="K52" s="516"/>
      <c r="L52" s="223"/>
      <c r="M52" s="224"/>
      <c r="N52" s="225"/>
      <c r="O52" s="188">
        <f>SUM(O53:O62)</f>
        <v>0</v>
      </c>
      <c r="P52" s="188">
        <f>SUM(P53:P62)</f>
        <v>0</v>
      </c>
      <c r="Q52" s="233"/>
      <c r="V52" s="99"/>
      <c r="W52" s="99"/>
      <c r="X52" s="99"/>
      <c r="Y52" s="99"/>
      <c r="Z52" s="99"/>
    </row>
    <row r="53" spans="2:28" ht="27.75" customHeight="1">
      <c r="D53" s="175" t="s">
        <v>82</v>
      </c>
      <c r="E53" s="106" t="s">
        <v>72</v>
      </c>
      <c r="F53" s="115" t="s">
        <v>154</v>
      </c>
      <c r="G53" s="474" t="s">
        <v>254</v>
      </c>
      <c r="H53" s="474"/>
      <c r="I53" s="474"/>
      <c r="J53" s="474"/>
      <c r="K53" s="474"/>
      <c r="L53" s="106" t="s">
        <v>73</v>
      </c>
      <c r="M53" s="113">
        <v>28536</v>
      </c>
      <c r="N53" s="107">
        <v>0</v>
      </c>
      <c r="O53" s="112">
        <f>M53*N53</f>
        <v>0</v>
      </c>
      <c r="P53" s="111">
        <f t="shared" ref="P53:P62" si="4">O53*1.2353</f>
        <v>0</v>
      </c>
      <c r="Q53" s="233"/>
      <c r="V53" s="99"/>
      <c r="W53" s="99"/>
      <c r="X53" s="99"/>
      <c r="Y53" s="99"/>
      <c r="Z53" s="99"/>
      <c r="AA53" s="99"/>
      <c r="AB53" s="99"/>
    </row>
    <row r="54" spans="2:28" ht="63" customHeight="1">
      <c r="D54" s="175" t="s">
        <v>93</v>
      </c>
      <c r="E54" s="106" t="s">
        <v>118</v>
      </c>
      <c r="F54" s="115" t="s">
        <v>154</v>
      </c>
      <c r="G54" s="474" t="s">
        <v>117</v>
      </c>
      <c r="H54" s="474"/>
      <c r="I54" s="474"/>
      <c r="J54" s="474"/>
      <c r="K54" s="474"/>
      <c r="L54" s="106" t="s">
        <v>64</v>
      </c>
      <c r="M54" s="113">
        <v>5600</v>
      </c>
      <c r="N54" s="107">
        <v>0</v>
      </c>
      <c r="O54" s="112">
        <f t="shared" ref="O54:O61" si="5">M54*N54</f>
        <v>0</v>
      </c>
      <c r="P54" s="111">
        <f t="shared" si="4"/>
        <v>0</v>
      </c>
      <c r="Q54" s="233"/>
      <c r="V54" s="99"/>
      <c r="W54" s="99"/>
      <c r="X54" s="99"/>
      <c r="Y54" s="99"/>
      <c r="Z54" s="99"/>
      <c r="AA54" s="99"/>
      <c r="AB54" s="99"/>
    </row>
    <row r="55" spans="2:28" ht="37.5" customHeight="1">
      <c r="D55" s="175" t="s">
        <v>94</v>
      </c>
      <c r="E55" s="106" t="s">
        <v>130</v>
      </c>
      <c r="F55" s="115" t="s">
        <v>154</v>
      </c>
      <c r="G55" s="474" t="s">
        <v>129</v>
      </c>
      <c r="H55" s="474"/>
      <c r="I55" s="474"/>
      <c r="J55" s="474"/>
      <c r="K55" s="474"/>
      <c r="L55" s="106" t="s">
        <v>64</v>
      </c>
      <c r="M55" s="113">
        <v>9462.56</v>
      </c>
      <c r="N55" s="107">
        <v>0</v>
      </c>
      <c r="O55" s="112">
        <f t="shared" si="5"/>
        <v>0</v>
      </c>
      <c r="P55" s="111">
        <f t="shared" si="4"/>
        <v>0</v>
      </c>
      <c r="Q55" s="233"/>
      <c r="V55" s="99"/>
      <c r="W55" s="99"/>
      <c r="X55" s="99"/>
      <c r="Y55" s="99"/>
      <c r="Z55" s="99"/>
      <c r="AA55" s="99"/>
      <c r="AB55" s="99"/>
    </row>
    <row r="56" spans="2:28" ht="25.5" customHeight="1">
      <c r="D56" s="175" t="s">
        <v>95</v>
      </c>
      <c r="E56" s="106" t="s">
        <v>68</v>
      </c>
      <c r="F56" s="115" t="s">
        <v>154</v>
      </c>
      <c r="G56" s="474" t="s">
        <v>70</v>
      </c>
      <c r="H56" s="474"/>
      <c r="I56" s="474"/>
      <c r="J56" s="474"/>
      <c r="K56" s="474"/>
      <c r="L56" s="106" t="s">
        <v>64</v>
      </c>
      <c r="M56" s="113">
        <v>6200</v>
      </c>
      <c r="N56" s="107">
        <v>0</v>
      </c>
      <c r="O56" s="112">
        <f t="shared" si="5"/>
        <v>0</v>
      </c>
      <c r="P56" s="111">
        <f t="shared" si="4"/>
        <v>0</v>
      </c>
      <c r="Q56" s="233"/>
      <c r="V56" s="99"/>
      <c r="W56" s="99"/>
      <c r="X56" s="99"/>
      <c r="Y56" s="99"/>
      <c r="Z56" s="99"/>
      <c r="AA56" s="99"/>
      <c r="AB56" s="99"/>
    </row>
    <row r="57" spans="2:28" ht="25.5" customHeight="1">
      <c r="D57" s="175" t="s">
        <v>96</v>
      </c>
      <c r="E57" s="106" t="s">
        <v>69</v>
      </c>
      <c r="F57" s="115" t="s">
        <v>154</v>
      </c>
      <c r="G57" s="474" t="s">
        <v>71</v>
      </c>
      <c r="H57" s="474"/>
      <c r="I57" s="474"/>
      <c r="J57" s="474"/>
      <c r="K57" s="474"/>
      <c r="L57" s="106" t="s">
        <v>67</v>
      </c>
      <c r="M57" s="113">
        <v>106</v>
      </c>
      <c r="N57" s="107">
        <v>0</v>
      </c>
      <c r="O57" s="112">
        <f t="shared" si="5"/>
        <v>0</v>
      </c>
      <c r="P57" s="111">
        <f t="shared" si="4"/>
        <v>0</v>
      </c>
      <c r="Q57" s="233"/>
      <c r="V57" s="99"/>
      <c r="W57" s="99"/>
      <c r="X57" s="99"/>
      <c r="Y57" s="99"/>
      <c r="Z57" s="99"/>
      <c r="AA57" s="99"/>
      <c r="AB57" s="99"/>
    </row>
    <row r="58" spans="2:28" ht="25.5" customHeight="1">
      <c r="D58" s="175" t="s">
        <v>97</v>
      </c>
      <c r="E58" s="106" t="s">
        <v>133</v>
      </c>
      <c r="F58" s="115" t="s">
        <v>154</v>
      </c>
      <c r="G58" s="474" t="s">
        <v>134</v>
      </c>
      <c r="H58" s="474"/>
      <c r="I58" s="474"/>
      <c r="J58" s="474"/>
      <c r="K58" s="474"/>
      <c r="L58" s="106" t="s">
        <v>67</v>
      </c>
      <c r="M58" s="113">
        <v>212</v>
      </c>
      <c r="N58" s="107">
        <v>0</v>
      </c>
      <c r="O58" s="112">
        <f t="shared" si="5"/>
        <v>0</v>
      </c>
      <c r="P58" s="111">
        <f t="shared" si="4"/>
        <v>0</v>
      </c>
      <c r="Q58" s="233"/>
      <c r="V58" s="99"/>
      <c r="W58" s="99"/>
      <c r="X58" s="99"/>
      <c r="Y58" s="99"/>
      <c r="Z58" s="99"/>
      <c r="AA58" s="99"/>
      <c r="AB58" s="99"/>
    </row>
    <row r="59" spans="2:28" ht="28.5" customHeight="1">
      <c r="D59" s="175" t="s">
        <v>98</v>
      </c>
      <c r="E59" s="106" t="s">
        <v>131</v>
      </c>
      <c r="F59" s="106" t="s">
        <v>76</v>
      </c>
      <c r="G59" s="474" t="s">
        <v>132</v>
      </c>
      <c r="H59" s="474"/>
      <c r="I59" s="474"/>
      <c r="J59" s="474"/>
      <c r="K59" s="474"/>
      <c r="L59" s="106" t="s">
        <v>67</v>
      </c>
      <c r="M59" s="113">
        <v>395</v>
      </c>
      <c r="N59" s="107">
        <v>0</v>
      </c>
      <c r="O59" s="112">
        <f t="shared" si="5"/>
        <v>0</v>
      </c>
      <c r="P59" s="111">
        <f t="shared" si="4"/>
        <v>0</v>
      </c>
      <c r="Q59" s="233"/>
      <c r="V59" s="99"/>
      <c r="W59" s="99"/>
      <c r="X59" s="99"/>
      <c r="Y59" s="99"/>
      <c r="Z59" s="99"/>
      <c r="AA59" s="99"/>
      <c r="AB59" s="99"/>
    </row>
    <row r="60" spans="2:28" ht="35.25" customHeight="1">
      <c r="D60" s="175" t="s">
        <v>164</v>
      </c>
      <c r="E60" s="106" t="s">
        <v>159</v>
      </c>
      <c r="F60" s="115" t="s">
        <v>154</v>
      </c>
      <c r="G60" s="474" t="s">
        <v>160</v>
      </c>
      <c r="H60" s="474"/>
      <c r="I60" s="474"/>
      <c r="J60" s="474"/>
      <c r="K60" s="474"/>
      <c r="L60" s="106" t="s">
        <v>65</v>
      </c>
      <c r="M60" s="113">
        <v>100</v>
      </c>
      <c r="N60" s="107">
        <v>0</v>
      </c>
      <c r="O60" s="112">
        <f t="shared" si="5"/>
        <v>0</v>
      </c>
      <c r="P60" s="111">
        <f t="shared" si="4"/>
        <v>0</v>
      </c>
      <c r="Q60" s="233"/>
      <c r="V60" s="99"/>
      <c r="W60" s="99"/>
      <c r="X60" s="99"/>
      <c r="Y60" s="99"/>
      <c r="Z60" s="99"/>
      <c r="AA60" s="99"/>
      <c r="AB60" s="99"/>
    </row>
    <row r="61" spans="2:28" ht="30" customHeight="1">
      <c r="D61" s="175" t="s">
        <v>248</v>
      </c>
      <c r="E61" s="106" t="s">
        <v>119</v>
      </c>
      <c r="F61" s="115" t="s">
        <v>154</v>
      </c>
      <c r="G61" s="467" t="s">
        <v>113</v>
      </c>
      <c r="H61" s="468"/>
      <c r="I61" s="468"/>
      <c r="J61" s="468"/>
      <c r="K61" s="469"/>
      <c r="L61" s="106" t="s">
        <v>73</v>
      </c>
      <c r="M61" s="113">
        <v>787.64</v>
      </c>
      <c r="N61" s="107">
        <v>0</v>
      </c>
      <c r="O61" s="112">
        <f t="shared" si="5"/>
        <v>0</v>
      </c>
      <c r="P61" s="111">
        <f t="shared" si="4"/>
        <v>0</v>
      </c>
      <c r="Q61" s="233"/>
      <c r="V61" s="99"/>
      <c r="W61" s="99"/>
      <c r="X61" s="99"/>
      <c r="Y61" s="99"/>
      <c r="Z61" s="99"/>
      <c r="AA61" s="99"/>
      <c r="AB61" s="99"/>
    </row>
    <row r="62" spans="2:28" ht="36.75" customHeight="1">
      <c r="D62" s="175" t="s">
        <v>249</v>
      </c>
      <c r="E62" s="401">
        <v>1333</v>
      </c>
      <c r="F62" s="389" t="s">
        <v>154</v>
      </c>
      <c r="G62" s="498" t="s">
        <v>111</v>
      </c>
      <c r="H62" s="498"/>
      <c r="I62" s="498"/>
      <c r="J62" s="498"/>
      <c r="K62" s="498"/>
      <c r="L62" s="218" t="s">
        <v>73</v>
      </c>
      <c r="M62" s="201">
        <v>2004.81</v>
      </c>
      <c r="N62" s="411">
        <v>0</v>
      </c>
      <c r="O62" s="305">
        <f>M62*N62</f>
        <v>0</v>
      </c>
      <c r="P62" s="187">
        <f t="shared" si="4"/>
        <v>0</v>
      </c>
      <c r="Q62" s="233"/>
      <c r="V62" s="99"/>
      <c r="W62" s="99"/>
      <c r="X62" s="99"/>
      <c r="Y62" s="99"/>
      <c r="Z62" s="99"/>
      <c r="AA62" s="99"/>
      <c r="AB62" s="99"/>
    </row>
    <row r="63" spans="2:28" ht="34.5" customHeight="1">
      <c r="D63" s="221">
        <v>5</v>
      </c>
      <c r="E63" s="222"/>
      <c r="F63" s="222"/>
      <c r="G63" s="533" t="s">
        <v>220</v>
      </c>
      <c r="H63" s="533"/>
      <c r="I63" s="533"/>
      <c r="J63" s="533"/>
      <c r="K63" s="533"/>
      <c r="L63" s="223"/>
      <c r="M63" s="224"/>
      <c r="N63" s="225"/>
      <c r="O63" s="188">
        <f>SUM(O64:O71)</f>
        <v>0</v>
      </c>
      <c r="P63" s="188">
        <f>SUM(P64:P71)</f>
        <v>0</v>
      </c>
      <c r="Q63" s="233"/>
      <c r="V63" s="99"/>
      <c r="W63" s="99"/>
      <c r="X63" s="99"/>
      <c r="Y63" s="99"/>
      <c r="Z63" s="99"/>
      <c r="AA63" s="99"/>
      <c r="AB63" s="99"/>
    </row>
    <row r="64" spans="2:28" ht="49.5" customHeight="1">
      <c r="D64" s="227" t="s">
        <v>92</v>
      </c>
      <c r="E64" s="200" t="s">
        <v>228</v>
      </c>
      <c r="F64" s="115" t="s">
        <v>163</v>
      </c>
      <c r="G64" s="467" t="s">
        <v>175</v>
      </c>
      <c r="H64" s="468"/>
      <c r="I64" s="468"/>
      <c r="J64" s="468"/>
      <c r="K64" s="469"/>
      <c r="L64" s="106" t="s">
        <v>64</v>
      </c>
      <c r="M64" s="217">
        <f>Quant.!J251</f>
        <v>206.58</v>
      </c>
      <c r="N64" s="107">
        <v>0</v>
      </c>
      <c r="O64" s="112">
        <f t="shared" ref="O64:O71" si="6">M64*N64</f>
        <v>0</v>
      </c>
      <c r="P64" s="111">
        <f t="shared" ref="P64:P71" si="7">O64*1.2353</f>
        <v>0</v>
      </c>
      <c r="Q64" s="233"/>
      <c r="V64" s="99"/>
      <c r="W64" s="99"/>
      <c r="X64" s="99"/>
      <c r="Y64" s="99"/>
      <c r="Z64" s="99"/>
      <c r="AA64" s="99"/>
      <c r="AB64" s="99"/>
    </row>
    <row r="65" spans="4:28" ht="48.75" customHeight="1">
      <c r="D65" s="227" t="s">
        <v>99</v>
      </c>
      <c r="E65" s="106" t="s">
        <v>226</v>
      </c>
      <c r="F65" s="115" t="s">
        <v>163</v>
      </c>
      <c r="G65" s="467" t="s">
        <v>176</v>
      </c>
      <c r="H65" s="468"/>
      <c r="I65" s="468"/>
      <c r="J65" s="468"/>
      <c r="K65" s="469"/>
      <c r="L65" s="106" t="s">
        <v>106</v>
      </c>
      <c r="M65" s="217">
        <f>Quant.!J281</f>
        <v>726.30000000000007</v>
      </c>
      <c r="N65" s="107">
        <v>0</v>
      </c>
      <c r="O65" s="112">
        <f t="shared" si="6"/>
        <v>0</v>
      </c>
      <c r="P65" s="111">
        <f t="shared" si="7"/>
        <v>0</v>
      </c>
      <c r="Q65" s="233"/>
      <c r="V65" s="99"/>
      <c r="W65" s="99"/>
      <c r="X65" s="99"/>
      <c r="Y65" s="99"/>
      <c r="Z65" s="99"/>
      <c r="AA65" s="99"/>
      <c r="AB65" s="99"/>
    </row>
    <row r="66" spans="4:28" ht="48.75" customHeight="1">
      <c r="D66" s="227" t="s">
        <v>100</v>
      </c>
      <c r="E66" s="106" t="s">
        <v>227</v>
      </c>
      <c r="F66" s="115" t="s">
        <v>163</v>
      </c>
      <c r="G66" s="471" t="s">
        <v>108</v>
      </c>
      <c r="H66" s="472"/>
      <c r="I66" s="472"/>
      <c r="J66" s="472"/>
      <c r="K66" s="473"/>
      <c r="L66" s="106" t="s">
        <v>106</v>
      </c>
      <c r="M66" s="217">
        <f>Quant.!J287</f>
        <v>726.30000000000007</v>
      </c>
      <c r="N66" s="107">
        <v>0</v>
      </c>
      <c r="O66" s="112">
        <f t="shared" si="6"/>
        <v>0</v>
      </c>
      <c r="P66" s="111">
        <f t="shared" si="7"/>
        <v>0</v>
      </c>
      <c r="Q66" s="233"/>
      <c r="V66" s="99"/>
      <c r="W66" s="99"/>
      <c r="X66" s="99"/>
      <c r="Y66" s="99"/>
      <c r="Z66" s="99"/>
      <c r="AA66" s="99"/>
      <c r="AB66" s="99"/>
    </row>
    <row r="67" spans="4:28" ht="33.75" customHeight="1">
      <c r="D67" s="227" t="s">
        <v>101</v>
      </c>
      <c r="E67" s="106" t="s">
        <v>138</v>
      </c>
      <c r="F67" s="115" t="s">
        <v>163</v>
      </c>
      <c r="G67" s="467" t="s">
        <v>177</v>
      </c>
      <c r="H67" s="468"/>
      <c r="I67" s="468"/>
      <c r="J67" s="468"/>
      <c r="K67" s="469"/>
      <c r="L67" s="106" t="s">
        <v>66</v>
      </c>
      <c r="M67" s="217">
        <f>Quant.!J293</f>
        <v>16.137</v>
      </c>
      <c r="N67" s="107">
        <v>0</v>
      </c>
      <c r="O67" s="112">
        <f t="shared" si="6"/>
        <v>0</v>
      </c>
      <c r="P67" s="111">
        <f t="shared" si="7"/>
        <v>0</v>
      </c>
      <c r="Q67" s="233"/>
      <c r="V67" s="99"/>
      <c r="W67" s="99"/>
      <c r="X67" s="99"/>
      <c r="Y67" s="99"/>
      <c r="Z67" s="99"/>
      <c r="AA67" s="99"/>
      <c r="AB67" s="99"/>
    </row>
    <row r="68" spans="4:28" ht="33.75" customHeight="1">
      <c r="D68" s="227" t="s">
        <v>250</v>
      </c>
      <c r="E68" s="106" t="s">
        <v>178</v>
      </c>
      <c r="F68" s="106" t="s">
        <v>162</v>
      </c>
      <c r="G68" s="467" t="s">
        <v>179</v>
      </c>
      <c r="H68" s="468"/>
      <c r="I68" s="468"/>
      <c r="J68" s="468"/>
      <c r="K68" s="469"/>
      <c r="L68" s="106" t="s">
        <v>66</v>
      </c>
      <c r="M68" s="217">
        <f>Quant.!J309</f>
        <v>16.14</v>
      </c>
      <c r="N68" s="107">
        <v>0</v>
      </c>
      <c r="O68" s="112">
        <f>M68*N68</f>
        <v>0</v>
      </c>
      <c r="P68" s="111">
        <f>O68*1.2353</f>
        <v>0</v>
      </c>
      <c r="Q68" s="233"/>
      <c r="V68" s="99"/>
      <c r="W68" s="99"/>
      <c r="X68" s="99"/>
      <c r="Y68" s="99"/>
      <c r="Z68" s="99"/>
      <c r="AA68" s="99"/>
      <c r="AB68" s="99"/>
    </row>
    <row r="69" spans="4:28" ht="48" customHeight="1">
      <c r="D69" s="227" t="s">
        <v>251</v>
      </c>
      <c r="E69" s="106" t="s">
        <v>288</v>
      </c>
      <c r="F69" s="115" t="s">
        <v>163</v>
      </c>
      <c r="G69" s="467" t="s">
        <v>180</v>
      </c>
      <c r="H69" s="468"/>
      <c r="I69" s="468"/>
      <c r="J69" s="468"/>
      <c r="K69" s="469"/>
      <c r="L69" s="106" t="s">
        <v>64</v>
      </c>
      <c r="M69" s="217">
        <f>Quant.!J310</f>
        <v>53.970000000000006</v>
      </c>
      <c r="N69" s="107">
        <v>0</v>
      </c>
      <c r="O69" s="112">
        <f t="shared" si="6"/>
        <v>0</v>
      </c>
      <c r="P69" s="111">
        <f>O69*1.2353</f>
        <v>0</v>
      </c>
      <c r="Q69" s="233"/>
      <c r="V69" s="99"/>
      <c r="W69" s="99"/>
      <c r="X69" s="99"/>
      <c r="Y69" s="99"/>
      <c r="Z69" s="99"/>
      <c r="AA69" s="99"/>
      <c r="AB69" s="99"/>
    </row>
    <row r="70" spans="4:28" ht="33.75" customHeight="1">
      <c r="D70" s="227" t="s">
        <v>252</v>
      </c>
      <c r="E70" s="106" t="s">
        <v>294</v>
      </c>
      <c r="F70" s="115" t="s">
        <v>163</v>
      </c>
      <c r="G70" s="467" t="s">
        <v>165</v>
      </c>
      <c r="H70" s="468"/>
      <c r="I70" s="468"/>
      <c r="J70" s="468"/>
      <c r="K70" s="469"/>
      <c r="L70" s="106" t="s">
        <v>67</v>
      </c>
      <c r="M70" s="217">
        <f>Quant.!J332</f>
        <v>76.800000000000011</v>
      </c>
      <c r="N70" s="107">
        <v>0</v>
      </c>
      <c r="O70" s="112">
        <f t="shared" si="6"/>
        <v>0</v>
      </c>
      <c r="P70" s="111">
        <f t="shared" si="7"/>
        <v>0</v>
      </c>
      <c r="Q70" s="233"/>
      <c r="V70" s="99"/>
      <c r="W70" s="99"/>
      <c r="X70" s="99"/>
      <c r="Y70" s="99"/>
      <c r="Z70" s="99"/>
      <c r="AA70" s="99"/>
      <c r="AB70" s="99"/>
    </row>
    <row r="71" spans="4:28" ht="33.75" customHeight="1">
      <c r="D71" s="227" t="s">
        <v>253</v>
      </c>
      <c r="E71" s="106" t="s">
        <v>295</v>
      </c>
      <c r="F71" s="115" t="s">
        <v>163</v>
      </c>
      <c r="G71" s="467" t="s">
        <v>181</v>
      </c>
      <c r="H71" s="468"/>
      <c r="I71" s="468"/>
      <c r="J71" s="468"/>
      <c r="K71" s="469"/>
      <c r="L71" s="106" t="s">
        <v>67</v>
      </c>
      <c r="M71" s="217">
        <f>Quant.!J340</f>
        <v>80</v>
      </c>
      <c r="N71" s="107">
        <v>0</v>
      </c>
      <c r="O71" s="112">
        <f t="shared" si="6"/>
        <v>0</v>
      </c>
      <c r="P71" s="111">
        <f t="shared" si="7"/>
        <v>0</v>
      </c>
      <c r="Q71" s="233"/>
      <c r="V71" s="99"/>
      <c r="W71" s="99"/>
      <c r="X71" s="99"/>
      <c r="Y71" s="99"/>
      <c r="Z71" s="99"/>
      <c r="AA71" s="99"/>
      <c r="AB71" s="99"/>
    </row>
    <row r="72" spans="4:28" ht="42.75" customHeight="1">
      <c r="D72" s="221"/>
      <c r="E72" s="222"/>
      <c r="F72" s="222"/>
      <c r="G72" s="524" t="s">
        <v>287</v>
      </c>
      <c r="H72" s="525"/>
      <c r="I72" s="525"/>
      <c r="J72" s="525"/>
      <c r="K72" s="526"/>
      <c r="L72" s="462"/>
      <c r="M72" s="463"/>
      <c r="N72" s="464"/>
      <c r="O72" s="188">
        <f>SUM(O63+O52+O37+O27+O24)</f>
        <v>0</v>
      </c>
      <c r="P72" s="188">
        <f>SUM(P63+P52+P37+P27+P24)</f>
        <v>0</v>
      </c>
    </row>
    <row r="76" spans="4:28">
      <c r="J76" s="431"/>
    </row>
  </sheetData>
  <mergeCells count="69">
    <mergeCell ref="G25:K25"/>
    <mergeCell ref="G26:K26"/>
    <mergeCell ref="G69:K69"/>
    <mergeCell ref="G63:K63"/>
    <mergeCell ref="G71:K71"/>
    <mergeCell ref="G72:K72"/>
    <mergeCell ref="G43:K43"/>
    <mergeCell ref="G44:K44"/>
    <mergeCell ref="G45:K45"/>
    <mergeCell ref="G46:K46"/>
    <mergeCell ref="G65:K65"/>
    <mergeCell ref="G66:K66"/>
    <mergeCell ref="G67:K67"/>
    <mergeCell ref="G70:K70"/>
    <mergeCell ref="G64:K64"/>
    <mergeCell ref="G68:K68"/>
    <mergeCell ref="G32:K32"/>
    <mergeCell ref="G28:K28"/>
    <mergeCell ref="G24:K24"/>
    <mergeCell ref="G42:K42"/>
    <mergeCell ref="G59:K59"/>
    <mergeCell ref="G48:K48"/>
    <mergeCell ref="G49:K49"/>
    <mergeCell ref="G53:K53"/>
    <mergeCell ref="G50:K50"/>
    <mergeCell ref="G52:K52"/>
    <mergeCell ref="G37:K37"/>
    <mergeCell ref="G34:K34"/>
    <mergeCell ref="G35:K35"/>
    <mergeCell ref="G36:K36"/>
    <mergeCell ref="G40:K40"/>
    <mergeCell ref="G41:K41"/>
    <mergeCell ref="G62:K62"/>
    <mergeCell ref="S14:T14"/>
    <mergeCell ref="D12:F12"/>
    <mergeCell ref="E20:E22"/>
    <mergeCell ref="D19:P19"/>
    <mergeCell ref="D20:D22"/>
    <mergeCell ref="N21:O21"/>
    <mergeCell ref="H12:J12"/>
    <mergeCell ref="G20:K22"/>
    <mergeCell ref="G31:K31"/>
    <mergeCell ref="K16:N16"/>
    <mergeCell ref="M20:M22"/>
    <mergeCell ref="G33:K33"/>
    <mergeCell ref="G27:K27"/>
    <mergeCell ref="G29:K29"/>
    <mergeCell ref="G30:K30"/>
    <mergeCell ref="D23:P23"/>
    <mergeCell ref="N15:O15"/>
    <mergeCell ref="N20:P20"/>
    <mergeCell ref="L20:L22"/>
    <mergeCell ref="K17:O18"/>
    <mergeCell ref="D7:E7"/>
    <mergeCell ref="D8:K8"/>
    <mergeCell ref="K12:O12"/>
    <mergeCell ref="F20:F22"/>
    <mergeCell ref="F10:G10"/>
    <mergeCell ref="G61:K61"/>
    <mergeCell ref="G38:K38"/>
    <mergeCell ref="G51:K51"/>
    <mergeCell ref="G54:K54"/>
    <mergeCell ref="G55:K55"/>
    <mergeCell ref="G47:K47"/>
    <mergeCell ref="G56:K56"/>
    <mergeCell ref="G60:K60"/>
    <mergeCell ref="G57:K57"/>
    <mergeCell ref="G58:K58"/>
    <mergeCell ref="G39:K39"/>
  </mergeCells>
  <phoneticPr fontId="5" type="noConversion"/>
  <conditionalFormatting sqref="M28:M33 D1:P23 D27:P27 O28:P36 N69:P69 M41:M51 O38:P51 F69:L69 F42:F51">
    <cfRule type="expression" dxfId="386" priority="22769" stopIfTrue="1">
      <formula>$B1="z"</formula>
    </cfRule>
    <cfRule type="expression" dxfId="385" priority="22770" stopIfTrue="1">
      <formula>$B1="y"</formula>
    </cfRule>
    <cfRule type="expression" dxfId="384" priority="22771" stopIfTrue="1">
      <formula>$B1="x"</formula>
    </cfRule>
  </conditionalFormatting>
  <conditionalFormatting sqref="D77:P77 D79:P65536 D69:D71">
    <cfRule type="expression" dxfId="383" priority="22631" stopIfTrue="1">
      <formula>$B63="z"</formula>
    </cfRule>
    <cfRule type="expression" dxfId="382" priority="22632" stopIfTrue="1">
      <formula>$B63="y"</formula>
    </cfRule>
    <cfRule type="expression" dxfId="381" priority="22633" stopIfTrue="1">
      <formula>$B63="x"</formula>
    </cfRule>
  </conditionalFormatting>
  <conditionalFormatting sqref="D73:P74">
    <cfRule type="expression" dxfId="380" priority="3862" stopIfTrue="1">
      <formula>#REF!="z"</formula>
    </cfRule>
    <cfRule type="expression" dxfId="379" priority="3863" stopIfTrue="1">
      <formula>#REF!="y"</formula>
    </cfRule>
    <cfRule type="expression" dxfId="378" priority="3864" stopIfTrue="1">
      <formula>#REF!="x"</formula>
    </cfRule>
  </conditionalFormatting>
  <conditionalFormatting sqref="E30">
    <cfRule type="expression" dxfId="377" priority="1855" stopIfTrue="1">
      <formula>$B30="z"</formula>
    </cfRule>
    <cfRule type="expression" dxfId="376" priority="1856" stopIfTrue="1">
      <formula>$B30="y"</formula>
    </cfRule>
    <cfRule type="expression" dxfId="375" priority="1857" stopIfTrue="1">
      <formula>$B30="x"</formula>
    </cfRule>
  </conditionalFormatting>
  <conditionalFormatting sqref="D53:E53 N53:P54 N56:P59 E54 E56:E59 G56:L59 G53:L54 G61:L62 E61:E62 N61:P62 O54:P62 D54:D62">
    <cfRule type="expression" dxfId="374" priority="1777" stopIfTrue="1">
      <formula>$B53="z"</formula>
    </cfRule>
    <cfRule type="expression" dxfId="373" priority="1778" stopIfTrue="1">
      <formula>$B53="y"</formula>
    </cfRule>
    <cfRule type="expression" dxfId="372" priority="1779" stopIfTrue="1">
      <formula>$B53="x"</formula>
    </cfRule>
  </conditionalFormatting>
  <conditionalFormatting sqref="D37:P37">
    <cfRule type="expression" dxfId="371" priority="1846" stopIfTrue="1">
      <formula>$B37="z"</formula>
    </cfRule>
    <cfRule type="expression" dxfId="370" priority="1847" stopIfTrue="1">
      <formula>$B37="y"</formula>
    </cfRule>
    <cfRule type="expression" dxfId="369" priority="1848" stopIfTrue="1">
      <formula>$B37="x"</formula>
    </cfRule>
  </conditionalFormatting>
  <conditionalFormatting sqref="M34:M36 O34:P36">
    <cfRule type="expression" dxfId="368" priority="1840" stopIfTrue="1">
      <formula>$B34="z"</formula>
    </cfRule>
    <cfRule type="expression" dxfId="367" priority="1841" stopIfTrue="1">
      <formula>$B34="y"</formula>
    </cfRule>
    <cfRule type="expression" dxfId="366" priority="1842" stopIfTrue="1">
      <formula>$B34="x"</formula>
    </cfRule>
  </conditionalFormatting>
  <conditionalFormatting sqref="E55 G55:K55">
    <cfRule type="expression" dxfId="365" priority="1747" stopIfTrue="1">
      <formula>$B55="z"</formula>
    </cfRule>
    <cfRule type="expression" dxfId="364" priority="1748" stopIfTrue="1">
      <formula>$B55="y"</formula>
    </cfRule>
    <cfRule type="expression" dxfId="363" priority="1749" stopIfTrue="1">
      <formula>$B55="x"</formula>
    </cfRule>
  </conditionalFormatting>
  <conditionalFormatting sqref="M53:M54 M56:M59 M61:M62">
    <cfRule type="expression" dxfId="362" priority="1756" stopIfTrue="1">
      <formula>$B53="z"</formula>
    </cfRule>
    <cfRule type="expression" dxfId="361" priority="1757" stopIfTrue="1">
      <formula>$B53="y"</formula>
    </cfRule>
    <cfRule type="expression" dxfId="360" priority="1758" stopIfTrue="1">
      <formula>$B53="x"</formula>
    </cfRule>
  </conditionalFormatting>
  <conditionalFormatting sqref="E62 G62:P62">
    <cfRule type="expression" dxfId="359" priority="1753" stopIfTrue="1">
      <formula>$B62="z"</formula>
    </cfRule>
    <cfRule type="expression" dxfId="358" priority="1754" stopIfTrue="1">
      <formula>$B62="y"</formula>
    </cfRule>
    <cfRule type="expression" dxfId="357" priority="1755" stopIfTrue="1">
      <formula>$B62="x"</formula>
    </cfRule>
  </conditionalFormatting>
  <conditionalFormatting sqref="N55:P55 L55">
    <cfRule type="expression" dxfId="356" priority="1750" stopIfTrue="1">
      <formula>$B55="z"</formula>
    </cfRule>
    <cfRule type="expression" dxfId="355" priority="1751" stopIfTrue="1">
      <formula>$B55="y"</formula>
    </cfRule>
    <cfRule type="expression" dxfId="354" priority="1752" stopIfTrue="1">
      <formula>$B55="x"</formula>
    </cfRule>
  </conditionalFormatting>
  <conditionalFormatting sqref="M55">
    <cfRule type="expression" dxfId="353" priority="1744" stopIfTrue="1">
      <formula>$B55="z"</formula>
    </cfRule>
    <cfRule type="expression" dxfId="352" priority="1745" stopIfTrue="1">
      <formula>$B55="y"</formula>
    </cfRule>
    <cfRule type="expression" dxfId="351" priority="1746" stopIfTrue="1">
      <formula>$B55="x"</formula>
    </cfRule>
  </conditionalFormatting>
  <conditionalFormatting sqref="O54:P54 O56:P56 O58:P58 O60:P60 O62:P62 D52:P52">
    <cfRule type="expression" dxfId="350" priority="1720" stopIfTrue="1">
      <formula>$B52="z"</formula>
    </cfRule>
    <cfRule type="expression" dxfId="349" priority="1721" stopIfTrue="1">
      <formula>$B52="y"</formula>
    </cfRule>
    <cfRule type="expression" dxfId="348" priority="1722" stopIfTrue="1">
      <formula>$B52="x"</formula>
    </cfRule>
  </conditionalFormatting>
  <conditionalFormatting sqref="F59">
    <cfRule type="expression" dxfId="347" priority="1729" stopIfTrue="1">
      <formula>$B59="z"</formula>
    </cfRule>
    <cfRule type="expression" dxfId="346" priority="1730" stopIfTrue="1">
      <formula>$B59="y"</formula>
    </cfRule>
    <cfRule type="expression" dxfId="345" priority="1731" stopIfTrue="1">
      <formula>$B59="x"</formula>
    </cfRule>
  </conditionalFormatting>
  <conditionalFormatting sqref="F32">
    <cfRule type="expression" dxfId="344" priority="1673" stopIfTrue="1">
      <formula>$B32="z"</formula>
    </cfRule>
    <cfRule type="expression" dxfId="343" priority="1674" stopIfTrue="1">
      <formula>$B32="y"</formula>
    </cfRule>
    <cfRule type="expression" dxfId="342" priority="1675" stopIfTrue="1">
      <formula>$B32="x"</formula>
    </cfRule>
  </conditionalFormatting>
  <conditionalFormatting sqref="F31">
    <cfRule type="expression" dxfId="341" priority="1676" stopIfTrue="1">
      <formula>$B31="z"</formula>
    </cfRule>
    <cfRule type="expression" dxfId="340" priority="1677" stopIfTrue="1">
      <formula>$B31="y"</formula>
    </cfRule>
    <cfRule type="expression" dxfId="339" priority="1678" stopIfTrue="1">
      <formula>$B31="x"</formula>
    </cfRule>
  </conditionalFormatting>
  <conditionalFormatting sqref="F33">
    <cfRule type="expression" dxfId="338" priority="1670" stopIfTrue="1">
      <formula>$B33="z"</formula>
    </cfRule>
    <cfRule type="expression" dxfId="337" priority="1671" stopIfTrue="1">
      <formula>$B33="y"</formula>
    </cfRule>
    <cfRule type="expression" dxfId="336" priority="1672" stopIfTrue="1">
      <formula>$B33="x"</formula>
    </cfRule>
  </conditionalFormatting>
  <conditionalFormatting sqref="F34">
    <cfRule type="expression" dxfId="335" priority="1667" stopIfTrue="1">
      <formula>$B34="z"</formula>
    </cfRule>
    <cfRule type="expression" dxfId="334" priority="1668" stopIfTrue="1">
      <formula>$B34="y"</formula>
    </cfRule>
    <cfRule type="expression" dxfId="333" priority="1669" stopIfTrue="1">
      <formula>$B34="x"</formula>
    </cfRule>
  </conditionalFormatting>
  <conditionalFormatting sqref="F35">
    <cfRule type="expression" dxfId="332" priority="1664" stopIfTrue="1">
      <formula>$B35="z"</formula>
    </cfRule>
    <cfRule type="expression" dxfId="331" priority="1665" stopIfTrue="1">
      <formula>$B35="y"</formula>
    </cfRule>
    <cfRule type="expression" dxfId="330" priority="1666" stopIfTrue="1">
      <formula>$B35="x"</formula>
    </cfRule>
  </conditionalFormatting>
  <conditionalFormatting sqref="F36">
    <cfRule type="expression" dxfId="329" priority="1661" stopIfTrue="1">
      <formula>$B36="z"</formula>
    </cfRule>
    <cfRule type="expression" dxfId="328" priority="1662" stopIfTrue="1">
      <formula>$B36="y"</formula>
    </cfRule>
    <cfRule type="expression" dxfId="327" priority="1663" stopIfTrue="1">
      <formula>$B36="x"</formula>
    </cfRule>
  </conditionalFormatting>
  <conditionalFormatting sqref="F47:F51">
    <cfRule type="expression" dxfId="326" priority="1658" stopIfTrue="1">
      <formula>$B47="z"</formula>
    </cfRule>
    <cfRule type="expression" dxfId="325" priority="1659" stopIfTrue="1">
      <formula>$B47="y"</formula>
    </cfRule>
    <cfRule type="expression" dxfId="324" priority="1660" stopIfTrue="1">
      <formula>$B47="x"</formula>
    </cfRule>
  </conditionalFormatting>
  <conditionalFormatting sqref="F48">
    <cfRule type="expression" dxfId="323" priority="1652" stopIfTrue="1">
      <formula>$B48="z"</formula>
    </cfRule>
    <cfRule type="expression" dxfId="322" priority="1653" stopIfTrue="1">
      <formula>$B48="y"</formula>
    </cfRule>
    <cfRule type="expression" dxfId="321" priority="1654" stopIfTrue="1">
      <formula>$B48="x"</formula>
    </cfRule>
  </conditionalFormatting>
  <conditionalFormatting sqref="F49">
    <cfRule type="expression" dxfId="320" priority="1649" stopIfTrue="1">
      <formula>$B49="z"</formula>
    </cfRule>
    <cfRule type="expression" dxfId="319" priority="1650" stopIfTrue="1">
      <formula>$B49="y"</formula>
    </cfRule>
    <cfRule type="expression" dxfId="318" priority="1651" stopIfTrue="1">
      <formula>$B49="x"</formula>
    </cfRule>
  </conditionalFormatting>
  <conditionalFormatting sqref="F50">
    <cfRule type="expression" dxfId="317" priority="1646" stopIfTrue="1">
      <formula>$B50="z"</formula>
    </cfRule>
    <cfRule type="expression" dxfId="316" priority="1647" stopIfTrue="1">
      <formula>$B50="y"</formula>
    </cfRule>
    <cfRule type="expression" dxfId="315" priority="1648" stopIfTrue="1">
      <formula>$B50="x"</formula>
    </cfRule>
  </conditionalFormatting>
  <conditionalFormatting sqref="F51">
    <cfRule type="expression" dxfId="314" priority="1643" stopIfTrue="1">
      <formula>$B51="z"</formula>
    </cfRule>
    <cfRule type="expression" dxfId="313" priority="1644" stopIfTrue="1">
      <formula>$B51="y"</formula>
    </cfRule>
    <cfRule type="expression" dxfId="312" priority="1645" stopIfTrue="1">
      <formula>$B51="x"</formula>
    </cfRule>
  </conditionalFormatting>
  <conditionalFormatting sqref="F53">
    <cfRule type="expression" dxfId="311" priority="1631" stopIfTrue="1">
      <formula>$B53="z"</formula>
    </cfRule>
    <cfRule type="expression" dxfId="310" priority="1632" stopIfTrue="1">
      <formula>$B53="y"</formula>
    </cfRule>
    <cfRule type="expression" dxfId="309" priority="1633" stopIfTrue="1">
      <formula>$B53="x"</formula>
    </cfRule>
  </conditionalFormatting>
  <conditionalFormatting sqref="F54">
    <cfRule type="expression" dxfId="308" priority="1628" stopIfTrue="1">
      <formula>$B54="z"</formula>
    </cfRule>
    <cfRule type="expression" dxfId="307" priority="1629" stopIfTrue="1">
      <formula>$B54="y"</formula>
    </cfRule>
    <cfRule type="expression" dxfId="306" priority="1630" stopIfTrue="1">
      <formula>$B54="x"</formula>
    </cfRule>
  </conditionalFormatting>
  <conditionalFormatting sqref="F55">
    <cfRule type="expression" dxfId="305" priority="1625" stopIfTrue="1">
      <formula>$B55="z"</formula>
    </cfRule>
    <cfRule type="expression" dxfId="304" priority="1626" stopIfTrue="1">
      <formula>$B55="y"</formula>
    </cfRule>
    <cfRule type="expression" dxfId="303" priority="1627" stopIfTrue="1">
      <formula>$B55="x"</formula>
    </cfRule>
  </conditionalFormatting>
  <conditionalFormatting sqref="F56:F57">
    <cfRule type="expression" dxfId="302" priority="1619" stopIfTrue="1">
      <formula>$B56="z"</formula>
    </cfRule>
    <cfRule type="expression" dxfId="301" priority="1620" stopIfTrue="1">
      <formula>$B56="y"</formula>
    </cfRule>
    <cfRule type="expression" dxfId="300" priority="1621" stopIfTrue="1">
      <formula>$B56="x"</formula>
    </cfRule>
  </conditionalFormatting>
  <conditionalFormatting sqref="F58">
    <cfRule type="expression" dxfId="299" priority="1616" stopIfTrue="1">
      <formula>$B58="z"</formula>
    </cfRule>
    <cfRule type="expression" dxfId="298" priority="1617" stopIfTrue="1">
      <formula>$B58="y"</formula>
    </cfRule>
    <cfRule type="expression" dxfId="297" priority="1618" stopIfTrue="1">
      <formula>$B58="x"</formula>
    </cfRule>
  </conditionalFormatting>
  <conditionalFormatting sqref="F61">
    <cfRule type="expression" dxfId="296" priority="1613" stopIfTrue="1">
      <formula>$B61="z"</formula>
    </cfRule>
    <cfRule type="expression" dxfId="295" priority="1614" stopIfTrue="1">
      <formula>$B61="y"</formula>
    </cfRule>
    <cfRule type="expression" dxfId="294" priority="1615" stopIfTrue="1">
      <formula>$B61="x"</formula>
    </cfRule>
  </conditionalFormatting>
  <conditionalFormatting sqref="F62">
    <cfRule type="expression" dxfId="293" priority="1610" stopIfTrue="1">
      <formula>$B62="z"</formula>
    </cfRule>
    <cfRule type="expression" dxfId="292" priority="1611" stopIfTrue="1">
      <formula>$B62="y"</formula>
    </cfRule>
    <cfRule type="expression" dxfId="291" priority="1612" stopIfTrue="1">
      <formula>$B62="x"</formula>
    </cfRule>
  </conditionalFormatting>
  <conditionalFormatting sqref="M38 M40">
    <cfRule type="expression" dxfId="290" priority="1586" stopIfTrue="1">
      <formula>$B38="z"</formula>
    </cfRule>
    <cfRule type="expression" dxfId="289" priority="1587" stopIfTrue="1">
      <formula>$B38="y"</formula>
    </cfRule>
    <cfRule type="expression" dxfId="288" priority="1588" stopIfTrue="1">
      <formula>$B38="x"</formula>
    </cfRule>
  </conditionalFormatting>
  <conditionalFormatting sqref="M39 O39:P39">
    <cfRule type="expression" dxfId="287" priority="1583" stopIfTrue="1">
      <formula>$B39="z"</formula>
    </cfRule>
    <cfRule type="expression" dxfId="286" priority="1584" stopIfTrue="1">
      <formula>$B39="y"</formula>
    </cfRule>
    <cfRule type="expression" dxfId="285" priority="1585" stopIfTrue="1">
      <formula>$B39="x"</formula>
    </cfRule>
  </conditionalFormatting>
  <conditionalFormatting sqref="E38">
    <cfRule type="expression" dxfId="284" priority="1568" stopIfTrue="1">
      <formula>$B38="z"</formula>
    </cfRule>
    <cfRule type="expression" dxfId="283" priority="1569" stopIfTrue="1">
      <formula>$B38="y"</formula>
    </cfRule>
    <cfRule type="expression" dxfId="282" priority="1570" stopIfTrue="1">
      <formula>$B38="x"</formula>
    </cfRule>
  </conditionalFormatting>
  <conditionalFormatting sqref="N60:P60 G60:L60 E60">
    <cfRule type="expression" dxfId="281" priority="1541" stopIfTrue="1">
      <formula>$B60="z"</formula>
    </cfRule>
    <cfRule type="expression" dxfId="280" priority="1542" stopIfTrue="1">
      <formula>$B60="y"</formula>
    </cfRule>
    <cfRule type="expression" dxfId="279" priority="1543" stopIfTrue="1">
      <formula>$B60="x"</formula>
    </cfRule>
  </conditionalFormatting>
  <conditionalFormatting sqref="E39">
    <cfRule type="expression" dxfId="278" priority="1565" stopIfTrue="1">
      <formula>$B39="z"</formula>
    </cfRule>
    <cfRule type="expression" dxfId="277" priority="1566" stopIfTrue="1">
      <formula>$B39="y"</formula>
    </cfRule>
    <cfRule type="expression" dxfId="276" priority="1567" stopIfTrue="1">
      <formula>$B39="x"</formula>
    </cfRule>
  </conditionalFormatting>
  <conditionalFormatting sqref="E40">
    <cfRule type="expression" dxfId="275" priority="1556" stopIfTrue="1">
      <formula>$B40="z"</formula>
    </cfRule>
    <cfRule type="expression" dxfId="274" priority="1557" stopIfTrue="1">
      <formula>$B40="y"</formula>
    </cfRule>
    <cfRule type="expression" dxfId="273" priority="1558" stopIfTrue="1">
      <formula>$B40="x"</formula>
    </cfRule>
  </conditionalFormatting>
  <conditionalFormatting sqref="F41">
    <cfRule type="expression" dxfId="272" priority="1550" stopIfTrue="1">
      <formula>$B41="z"</formula>
    </cfRule>
    <cfRule type="expression" dxfId="271" priority="1551" stopIfTrue="1">
      <formula>$B41="y"</formula>
    </cfRule>
    <cfRule type="expression" dxfId="270" priority="1552" stopIfTrue="1">
      <formula>$B41="x"</formula>
    </cfRule>
  </conditionalFormatting>
  <conditionalFormatting sqref="M60">
    <cfRule type="expression" dxfId="269" priority="1538" stopIfTrue="1">
      <formula>$B60="z"</formula>
    </cfRule>
    <cfRule type="expression" dxfId="268" priority="1539" stopIfTrue="1">
      <formula>$B60="y"</formula>
    </cfRule>
    <cfRule type="expression" dxfId="267" priority="1540" stopIfTrue="1">
      <formula>$B60="x"</formula>
    </cfRule>
  </conditionalFormatting>
  <conditionalFormatting sqref="F60">
    <cfRule type="expression" dxfId="266" priority="1532" stopIfTrue="1">
      <formula>$B60="z"</formula>
    </cfRule>
    <cfRule type="expression" dxfId="265" priority="1533" stopIfTrue="1">
      <formula>$B60="y"</formula>
    </cfRule>
    <cfRule type="expression" dxfId="264" priority="1534" stopIfTrue="1">
      <formula>$B60="x"</formula>
    </cfRule>
  </conditionalFormatting>
  <conditionalFormatting sqref="E28">
    <cfRule type="expression" dxfId="263" priority="349" stopIfTrue="1">
      <formula>$B28="z"</formula>
    </cfRule>
    <cfRule type="expression" dxfId="262" priority="350" stopIfTrue="1">
      <formula>$B28="y"</formula>
    </cfRule>
    <cfRule type="expression" dxfId="261" priority="351" stopIfTrue="1">
      <formula>$B28="x"</formula>
    </cfRule>
  </conditionalFormatting>
  <conditionalFormatting sqref="E29">
    <cfRule type="expression" dxfId="260" priority="346" stopIfTrue="1">
      <formula>$B29="z"</formula>
    </cfRule>
    <cfRule type="expression" dxfId="259" priority="347" stopIfTrue="1">
      <formula>$B29="y"</formula>
    </cfRule>
    <cfRule type="expression" dxfId="258" priority="348" stopIfTrue="1">
      <formula>$B29="x"</formula>
    </cfRule>
  </conditionalFormatting>
  <conditionalFormatting sqref="F38">
    <cfRule type="expression" dxfId="257" priority="334" stopIfTrue="1">
      <formula>$B38="z"</formula>
    </cfRule>
    <cfRule type="expression" dxfId="256" priority="335" stopIfTrue="1">
      <formula>$B38="y"</formula>
    </cfRule>
    <cfRule type="expression" dxfId="255" priority="336" stopIfTrue="1">
      <formula>$B38="x"</formula>
    </cfRule>
  </conditionalFormatting>
  <conditionalFormatting sqref="F39">
    <cfRule type="expression" dxfId="254" priority="331" stopIfTrue="1">
      <formula>$B39="z"</formula>
    </cfRule>
    <cfRule type="expression" dxfId="253" priority="332" stopIfTrue="1">
      <formula>$B39="y"</formula>
    </cfRule>
    <cfRule type="expression" dxfId="252" priority="333" stopIfTrue="1">
      <formula>$B39="x"</formula>
    </cfRule>
  </conditionalFormatting>
  <conditionalFormatting sqref="F40">
    <cfRule type="expression" dxfId="251" priority="328" stopIfTrue="1">
      <formula>$B40="z"</formula>
    </cfRule>
    <cfRule type="expression" dxfId="250" priority="329" stopIfTrue="1">
      <formula>$B40="y"</formula>
    </cfRule>
    <cfRule type="expression" dxfId="249" priority="330" stopIfTrue="1">
      <formula>$B40="x"</formula>
    </cfRule>
  </conditionalFormatting>
  <conditionalFormatting sqref="F28">
    <cfRule type="expression" dxfId="248" priority="325" stopIfTrue="1">
      <formula>$B28="z"</formula>
    </cfRule>
    <cfRule type="expression" dxfId="247" priority="326" stopIfTrue="1">
      <formula>$B28="y"</formula>
    </cfRule>
    <cfRule type="expression" dxfId="246" priority="327" stopIfTrue="1">
      <formula>$B28="x"</formula>
    </cfRule>
  </conditionalFormatting>
  <conditionalFormatting sqref="F29">
    <cfRule type="expression" dxfId="245" priority="322" stopIfTrue="1">
      <formula>$B29="z"</formula>
    </cfRule>
    <cfRule type="expression" dxfId="244" priority="323" stopIfTrue="1">
      <formula>$B29="y"</formula>
    </cfRule>
    <cfRule type="expression" dxfId="243" priority="324" stopIfTrue="1">
      <formula>$B29="x"</formula>
    </cfRule>
  </conditionalFormatting>
  <conditionalFormatting sqref="F30:F36">
    <cfRule type="expression" dxfId="242" priority="319" stopIfTrue="1">
      <formula>$B30="z"</formula>
    </cfRule>
    <cfRule type="expression" dxfId="241" priority="320" stopIfTrue="1">
      <formula>$B30="y"</formula>
    </cfRule>
    <cfRule type="expression" dxfId="240" priority="321" stopIfTrue="1">
      <formula>$B30="x"</formula>
    </cfRule>
  </conditionalFormatting>
  <conditionalFormatting sqref="D24:G26 H24:K24 L24:P26">
    <cfRule type="expression" dxfId="239" priority="292" stopIfTrue="1">
      <formula>$B24="z"</formula>
    </cfRule>
    <cfRule type="expression" dxfId="238" priority="293" stopIfTrue="1">
      <formula>$B24="y"</formula>
    </cfRule>
    <cfRule type="expression" dxfId="237" priority="294" stopIfTrue="1">
      <formula>$B24="x"</formula>
    </cfRule>
  </conditionalFormatting>
  <conditionalFormatting sqref="D71">
    <cfRule type="expression" dxfId="236" priority="22775" stopIfTrue="1">
      <formula>$B64="z"</formula>
    </cfRule>
    <cfRule type="expression" dxfId="235" priority="22776" stopIfTrue="1">
      <formula>$B64="y"</formula>
    </cfRule>
    <cfRule type="expression" dxfId="234" priority="22777" stopIfTrue="1">
      <formula>$B64="x"</formula>
    </cfRule>
  </conditionalFormatting>
  <conditionalFormatting sqref="O53:P62">
    <cfRule type="expression" dxfId="233" priority="283" stopIfTrue="1">
      <formula>$B53="z"</formula>
    </cfRule>
    <cfRule type="expression" dxfId="232" priority="284" stopIfTrue="1">
      <formula>$B53="y"</formula>
    </cfRule>
    <cfRule type="expression" dxfId="231" priority="285" stopIfTrue="1">
      <formula>$B53="x"</formula>
    </cfRule>
  </conditionalFormatting>
  <conditionalFormatting sqref="D63:P63 N64 G64:K64">
    <cfRule type="expression" dxfId="230" priority="259" stopIfTrue="1">
      <formula>$B63="z"</formula>
    </cfRule>
    <cfRule type="expression" dxfId="229" priority="260" stopIfTrue="1">
      <formula>$B63="y"</formula>
    </cfRule>
    <cfRule type="expression" dxfId="228" priority="261" stopIfTrue="1">
      <formula>$B63="x"</formula>
    </cfRule>
  </conditionalFormatting>
  <conditionalFormatting sqref="D63:K63 D64:D71 G64:K65 F65:F67">
    <cfRule type="expression" dxfId="227" priority="256" stopIfTrue="1">
      <formula>#REF!="z"</formula>
    </cfRule>
    <cfRule type="expression" dxfId="226" priority="257" stopIfTrue="1">
      <formula>#REF!="y"</formula>
    </cfRule>
    <cfRule type="expression" dxfId="225" priority="258" stopIfTrue="1">
      <formula>#REF!="x"</formula>
    </cfRule>
  </conditionalFormatting>
  <conditionalFormatting sqref="N65:P66 O69:P69 L65:L66 G65:K65 F65:F67 F69">
    <cfRule type="expression" dxfId="224" priority="250" stopIfTrue="1">
      <formula>$B65="z"</formula>
    </cfRule>
    <cfRule type="expression" dxfId="223" priority="251" stopIfTrue="1">
      <formula>$B65="y"</formula>
    </cfRule>
    <cfRule type="expression" dxfId="222" priority="252" stopIfTrue="1">
      <formula>$B65="x"</formula>
    </cfRule>
  </conditionalFormatting>
  <conditionalFormatting sqref="M64">
    <cfRule type="expression" dxfId="221" priority="241" stopIfTrue="1">
      <formula>$B64="z"</formula>
    </cfRule>
    <cfRule type="expression" dxfId="220" priority="242" stopIfTrue="1">
      <formula>$B64="y"</formula>
    </cfRule>
    <cfRule type="expression" dxfId="219" priority="243" stopIfTrue="1">
      <formula>$B64="x"</formula>
    </cfRule>
  </conditionalFormatting>
  <conditionalFormatting sqref="D75:P76">
    <cfRule type="expression" dxfId="218" priority="22778" stopIfTrue="1">
      <formula>$B63="z"</formula>
    </cfRule>
    <cfRule type="expression" dxfId="217" priority="22779" stopIfTrue="1">
      <formula>$B63="y"</formula>
    </cfRule>
    <cfRule type="expression" dxfId="216" priority="22780" stopIfTrue="1">
      <formula>$B63="x"</formula>
    </cfRule>
  </conditionalFormatting>
  <conditionalFormatting sqref="D78:P78">
    <cfRule type="expression" dxfId="215" priority="229" stopIfTrue="1">
      <formula>$B69="z"</formula>
    </cfRule>
    <cfRule type="expression" dxfId="214" priority="230" stopIfTrue="1">
      <formula>$B69="y"</formula>
    </cfRule>
    <cfRule type="expression" dxfId="213" priority="231" stopIfTrue="1">
      <formula>$B69="x"</formula>
    </cfRule>
  </conditionalFormatting>
  <conditionalFormatting sqref="L64">
    <cfRule type="expression" dxfId="212" priority="223" stopIfTrue="1">
      <formula>$B64="z"</formula>
    </cfRule>
    <cfRule type="expression" dxfId="211" priority="224" stopIfTrue="1">
      <formula>$B64="y"</formula>
    </cfRule>
    <cfRule type="expression" dxfId="210" priority="225" stopIfTrue="1">
      <formula>$B64="x"</formula>
    </cfRule>
  </conditionalFormatting>
  <conditionalFormatting sqref="G65:K65 F65:F67 F69">
    <cfRule type="expression" dxfId="209" priority="22802" stopIfTrue="1">
      <formula>#REF!="z"</formula>
    </cfRule>
    <cfRule type="expression" dxfId="208" priority="22803" stopIfTrue="1">
      <formula>#REF!="y"</formula>
    </cfRule>
    <cfRule type="expression" dxfId="207" priority="22804" stopIfTrue="1">
      <formula>#REF!="x"</formula>
    </cfRule>
  </conditionalFormatting>
  <conditionalFormatting sqref="F69:K69">
    <cfRule type="expression" dxfId="206" priority="22814" stopIfTrue="1">
      <formula>#REF!="z"</formula>
    </cfRule>
    <cfRule type="expression" dxfId="205" priority="22815" stopIfTrue="1">
      <formula>#REF!="y"</formula>
    </cfRule>
    <cfRule type="expression" dxfId="204" priority="22816" stopIfTrue="1">
      <formula>#REF!="x"</formula>
    </cfRule>
  </conditionalFormatting>
  <conditionalFormatting sqref="E71:L71 N71:P71">
    <cfRule type="expression" dxfId="203" priority="217" stopIfTrue="1">
      <formula>$B71="z"</formula>
    </cfRule>
    <cfRule type="expression" dxfId="202" priority="218" stopIfTrue="1">
      <formula>$B71="y"</formula>
    </cfRule>
    <cfRule type="expression" dxfId="201" priority="219" stopIfTrue="1">
      <formula>$B71="x"</formula>
    </cfRule>
  </conditionalFormatting>
  <conditionalFormatting sqref="E71:K71">
    <cfRule type="expression" dxfId="200" priority="220" stopIfTrue="1">
      <formula>$B64="z"</formula>
    </cfRule>
    <cfRule type="expression" dxfId="199" priority="221" stopIfTrue="1">
      <formula>$B64="y"</formula>
    </cfRule>
    <cfRule type="expression" dxfId="198" priority="222" stopIfTrue="1">
      <formula>$B64="x"</formula>
    </cfRule>
  </conditionalFormatting>
  <conditionalFormatting sqref="E70:L70 N70:P70">
    <cfRule type="expression" dxfId="197" priority="205" stopIfTrue="1">
      <formula>$B70="z"</formula>
    </cfRule>
    <cfRule type="expression" dxfId="196" priority="206" stopIfTrue="1">
      <formula>$B70="y"</formula>
    </cfRule>
    <cfRule type="expression" dxfId="195" priority="207" stopIfTrue="1">
      <formula>$B70="x"</formula>
    </cfRule>
  </conditionalFormatting>
  <conditionalFormatting sqref="D70:K70">
    <cfRule type="expression" dxfId="194" priority="208" stopIfTrue="1">
      <formula>Orçamento!#REF!="z"</formula>
    </cfRule>
    <cfRule type="expression" dxfId="193" priority="209" stopIfTrue="1">
      <formula>Orçamento!#REF!="y"</formula>
    </cfRule>
    <cfRule type="expression" dxfId="192" priority="210" stopIfTrue="1">
      <formula>Orçamento!#REF!="x"</formula>
    </cfRule>
  </conditionalFormatting>
  <conditionalFormatting sqref="E68:L68 N68:P68">
    <cfRule type="expression" dxfId="191" priority="193" stopIfTrue="1">
      <formula>$B68="z"</formula>
    </cfRule>
    <cfRule type="expression" dxfId="190" priority="194" stopIfTrue="1">
      <formula>$B68="y"</formula>
    </cfRule>
    <cfRule type="expression" dxfId="189" priority="195" stopIfTrue="1">
      <formula>$B68="x"</formula>
    </cfRule>
  </conditionalFormatting>
  <conditionalFormatting sqref="E68:K68">
    <cfRule type="expression" dxfId="188" priority="196" stopIfTrue="1">
      <formula>#REF!="z"</formula>
    </cfRule>
    <cfRule type="expression" dxfId="187" priority="197" stopIfTrue="1">
      <formula>#REF!="y"</formula>
    </cfRule>
    <cfRule type="expression" dxfId="186" priority="198" stopIfTrue="1">
      <formula>#REF!="x"</formula>
    </cfRule>
  </conditionalFormatting>
  <conditionalFormatting sqref="E67:L67 N67:P67 O68:P68">
    <cfRule type="expression" dxfId="185" priority="181" stopIfTrue="1">
      <formula>$B67="z"</formula>
    </cfRule>
    <cfRule type="expression" dxfId="184" priority="182" stopIfTrue="1">
      <formula>$B67="y"</formula>
    </cfRule>
    <cfRule type="expression" dxfId="183" priority="183" stopIfTrue="1">
      <formula>$B67="x"</formula>
    </cfRule>
  </conditionalFormatting>
  <conditionalFormatting sqref="E67:K67">
    <cfRule type="expression" dxfId="182" priority="184" stopIfTrue="1">
      <formula>#REF!="z"</formula>
    </cfRule>
    <cfRule type="expression" dxfId="181" priority="185" stopIfTrue="1">
      <formula>#REF!="y"</formula>
    </cfRule>
    <cfRule type="expression" dxfId="180" priority="186" stopIfTrue="1">
      <formula>#REF!="x"</formula>
    </cfRule>
  </conditionalFormatting>
  <conditionalFormatting sqref="D64:D71">
    <cfRule type="expression" dxfId="179" priority="169" stopIfTrue="1">
      <formula>$B64="z"</formula>
    </cfRule>
    <cfRule type="expression" dxfId="178" priority="170" stopIfTrue="1">
      <formula>$B64="y"</formula>
    </cfRule>
    <cfRule type="expression" dxfId="177" priority="171" stopIfTrue="1">
      <formula>$B64="x"</formula>
    </cfRule>
  </conditionalFormatting>
  <conditionalFormatting sqref="F64">
    <cfRule type="expression" dxfId="176" priority="157" stopIfTrue="1">
      <formula>$B64="z"</formula>
    </cfRule>
    <cfRule type="expression" dxfId="175" priority="158" stopIfTrue="1">
      <formula>$B64="y"</formula>
    </cfRule>
    <cfRule type="expression" dxfId="174" priority="159" stopIfTrue="1">
      <formula>$B64="x"</formula>
    </cfRule>
  </conditionalFormatting>
  <conditionalFormatting sqref="F64">
    <cfRule type="expression" dxfId="173" priority="160" stopIfTrue="1">
      <formula>#REF!="z"</formula>
    </cfRule>
    <cfRule type="expression" dxfId="172" priority="161" stopIfTrue="1">
      <formula>#REF!="y"</formula>
    </cfRule>
    <cfRule type="expression" dxfId="171" priority="162" stopIfTrue="1">
      <formula>#REF!="x"</formula>
    </cfRule>
  </conditionalFormatting>
  <conditionalFormatting sqref="G64:K64 D64:D71">
    <cfRule type="expression" dxfId="170" priority="22820" stopIfTrue="1">
      <formula>#REF!="z"</formula>
    </cfRule>
    <cfRule type="expression" dxfId="169" priority="22821" stopIfTrue="1">
      <formula>#REF!="y"</formula>
    </cfRule>
    <cfRule type="expression" dxfId="168" priority="22822" stopIfTrue="1">
      <formula>#REF!="x"</formula>
    </cfRule>
  </conditionalFormatting>
  <conditionalFormatting sqref="F69">
    <cfRule type="expression" dxfId="167" priority="22829" stopIfTrue="1">
      <formula>#REF!="z"</formula>
    </cfRule>
    <cfRule type="expression" dxfId="166" priority="22830" stopIfTrue="1">
      <formula>#REF!="y"</formula>
    </cfRule>
    <cfRule type="expression" dxfId="165" priority="22831" stopIfTrue="1">
      <formula>#REF!="x"</formula>
    </cfRule>
  </conditionalFormatting>
  <conditionalFormatting sqref="D69">
    <cfRule type="expression" dxfId="164" priority="22841" stopIfTrue="1">
      <formula>Orçamento!#REF!="z"</formula>
    </cfRule>
    <cfRule type="expression" dxfId="163" priority="22842" stopIfTrue="1">
      <formula>Orçamento!#REF!="y"</formula>
    </cfRule>
    <cfRule type="expression" dxfId="162" priority="22843" stopIfTrue="1">
      <formula>Orçamento!#REF!="x"</formula>
    </cfRule>
  </conditionalFormatting>
  <conditionalFormatting sqref="M65:M71">
    <cfRule type="expression" dxfId="161" priority="154" stopIfTrue="1">
      <formula>$B65="z"</formula>
    </cfRule>
    <cfRule type="expression" dxfId="160" priority="155" stopIfTrue="1">
      <formula>$B65="y"</formula>
    </cfRule>
    <cfRule type="expression" dxfId="159" priority="156" stopIfTrue="1">
      <formula>$B65="x"</formula>
    </cfRule>
  </conditionalFormatting>
  <conditionalFormatting sqref="O64">
    <cfRule type="expression" dxfId="158" priority="151" stopIfTrue="1">
      <formula>$B64="z"</formula>
    </cfRule>
    <cfRule type="expression" dxfId="157" priority="152" stopIfTrue="1">
      <formula>$B64="y"</formula>
    </cfRule>
    <cfRule type="expression" dxfId="156" priority="153" stopIfTrue="1">
      <formula>$B64="x"</formula>
    </cfRule>
  </conditionalFormatting>
  <conditionalFormatting sqref="P64">
    <cfRule type="expression" dxfId="155" priority="148" stopIfTrue="1">
      <formula>$B64="z"</formula>
    </cfRule>
    <cfRule type="expression" dxfId="154" priority="149" stopIfTrue="1">
      <formula>$B64="y"</formula>
    </cfRule>
    <cfRule type="expression" dxfId="153" priority="150" stopIfTrue="1">
      <formula>$B64="x"</formula>
    </cfRule>
  </conditionalFormatting>
  <conditionalFormatting sqref="D68:D71">
    <cfRule type="expression" dxfId="152" priority="22865" stopIfTrue="1">
      <formula>$B63="z"</formula>
    </cfRule>
    <cfRule type="expression" dxfId="151" priority="22866" stopIfTrue="1">
      <formula>$B63="y"</formula>
    </cfRule>
    <cfRule type="expression" dxfId="150" priority="22867" stopIfTrue="1">
      <formula>$B63="x"</formula>
    </cfRule>
  </conditionalFormatting>
  <conditionalFormatting sqref="D25:G26 L25:O26">
    <cfRule type="expression" dxfId="149" priority="145" stopIfTrue="1">
      <formula>$B25="z"</formula>
    </cfRule>
    <cfRule type="expression" dxfId="148" priority="146" stopIfTrue="1">
      <formula>$B25="y"</formula>
    </cfRule>
    <cfRule type="expression" dxfId="147" priority="147" stopIfTrue="1">
      <formula>$B25="x"</formula>
    </cfRule>
  </conditionalFormatting>
  <conditionalFormatting sqref="P25:P26">
    <cfRule type="expression" dxfId="146" priority="142" stopIfTrue="1">
      <formula>$B25="z"</formula>
    </cfRule>
    <cfRule type="expression" dxfId="145" priority="143" stopIfTrue="1">
      <formula>$B25="y"</formula>
    </cfRule>
    <cfRule type="expression" dxfId="144" priority="144" stopIfTrue="1">
      <formula>$B25="x"</formula>
    </cfRule>
  </conditionalFormatting>
  <conditionalFormatting sqref="O25:O26">
    <cfRule type="expression" dxfId="143" priority="139" stopIfTrue="1">
      <formula>$B25="z"</formula>
    </cfRule>
    <cfRule type="expression" dxfId="142" priority="140" stopIfTrue="1">
      <formula>$B25="y"</formula>
    </cfRule>
    <cfRule type="expression" dxfId="141" priority="141" stopIfTrue="1">
      <formula>$B25="x"</formula>
    </cfRule>
  </conditionalFormatting>
  <conditionalFormatting sqref="E40">
    <cfRule type="expression" dxfId="140" priority="136" stopIfTrue="1">
      <formula>$B40="z"</formula>
    </cfRule>
    <cfRule type="expression" dxfId="139" priority="137" stopIfTrue="1">
      <formula>$B40="y"</formula>
    </cfRule>
    <cfRule type="expression" dxfId="138" priority="138" stopIfTrue="1">
      <formula>$B40="x"</formula>
    </cfRule>
  </conditionalFormatting>
  <conditionalFormatting sqref="M41:M43 O41:P46">
    <cfRule type="expression" dxfId="137" priority="133" stopIfTrue="1">
      <formula>$B41="z"</formula>
    </cfRule>
    <cfRule type="expression" dxfId="136" priority="134" stopIfTrue="1">
      <formula>$B41="y"</formula>
    </cfRule>
    <cfRule type="expression" dxfId="135" priority="135" stopIfTrue="1">
      <formula>$B41="x"</formula>
    </cfRule>
  </conditionalFormatting>
  <conditionalFormatting sqref="M44:M46 O44:P46">
    <cfRule type="expression" dxfId="134" priority="130" stopIfTrue="1">
      <formula>$B44="z"</formula>
    </cfRule>
    <cfRule type="expression" dxfId="133" priority="131" stopIfTrue="1">
      <formula>$B44="y"</formula>
    </cfRule>
    <cfRule type="expression" dxfId="132" priority="132" stopIfTrue="1">
      <formula>$B44="x"</formula>
    </cfRule>
  </conditionalFormatting>
  <conditionalFormatting sqref="F42">
    <cfRule type="expression" dxfId="131" priority="127" stopIfTrue="1">
      <formula>$B42="z"</formula>
    </cfRule>
    <cfRule type="expression" dxfId="130" priority="128" stopIfTrue="1">
      <formula>$B42="y"</formula>
    </cfRule>
    <cfRule type="expression" dxfId="129" priority="129" stopIfTrue="1">
      <formula>$B42="x"</formula>
    </cfRule>
  </conditionalFormatting>
  <conditionalFormatting sqref="F41">
    <cfRule type="expression" dxfId="128" priority="124" stopIfTrue="1">
      <formula>$B41="z"</formula>
    </cfRule>
    <cfRule type="expression" dxfId="127" priority="125" stopIfTrue="1">
      <formula>$B41="y"</formula>
    </cfRule>
    <cfRule type="expression" dxfId="126" priority="126" stopIfTrue="1">
      <formula>$B41="x"</formula>
    </cfRule>
  </conditionalFormatting>
  <conditionalFormatting sqref="F43">
    <cfRule type="expression" dxfId="125" priority="121" stopIfTrue="1">
      <formula>$B43="z"</formula>
    </cfRule>
    <cfRule type="expression" dxfId="124" priority="122" stopIfTrue="1">
      <formula>$B43="y"</formula>
    </cfRule>
    <cfRule type="expression" dxfId="123" priority="123" stopIfTrue="1">
      <formula>$B43="x"</formula>
    </cfRule>
  </conditionalFormatting>
  <conditionalFormatting sqref="F44">
    <cfRule type="expression" dxfId="122" priority="118" stopIfTrue="1">
      <formula>$B44="z"</formula>
    </cfRule>
    <cfRule type="expression" dxfId="121" priority="119" stopIfTrue="1">
      <formula>$B44="y"</formula>
    </cfRule>
    <cfRule type="expression" dxfId="120" priority="120" stopIfTrue="1">
      <formula>$B44="x"</formula>
    </cfRule>
  </conditionalFormatting>
  <conditionalFormatting sqref="F45">
    <cfRule type="expression" dxfId="119" priority="115" stopIfTrue="1">
      <formula>$B45="z"</formula>
    </cfRule>
    <cfRule type="expression" dxfId="118" priority="116" stopIfTrue="1">
      <formula>$B45="y"</formula>
    </cfRule>
    <cfRule type="expression" dxfId="117" priority="117" stopIfTrue="1">
      <formula>$B45="x"</formula>
    </cfRule>
  </conditionalFormatting>
  <conditionalFormatting sqref="F46:F51">
    <cfRule type="expression" dxfId="116" priority="112" stopIfTrue="1">
      <formula>$B46="z"</formula>
    </cfRule>
    <cfRule type="expression" dxfId="115" priority="113" stopIfTrue="1">
      <formula>$B46="y"</formula>
    </cfRule>
    <cfRule type="expression" dxfId="114" priority="114" stopIfTrue="1">
      <formula>$B46="x"</formula>
    </cfRule>
  </conditionalFormatting>
  <conditionalFormatting sqref="F41:F51">
    <cfRule type="expression" dxfId="113" priority="109" stopIfTrue="1">
      <formula>$B41="z"</formula>
    </cfRule>
    <cfRule type="expression" dxfId="112" priority="110" stopIfTrue="1">
      <formula>$B41="y"</formula>
    </cfRule>
    <cfRule type="expression" dxfId="111" priority="111" stopIfTrue="1">
      <formula>$B41="x"</formula>
    </cfRule>
  </conditionalFormatting>
  <conditionalFormatting sqref="L33">
    <cfRule type="expression" dxfId="110" priority="106" stopIfTrue="1">
      <formula>$B33="z"</formula>
    </cfRule>
    <cfRule type="expression" dxfId="109" priority="107" stopIfTrue="1">
      <formula>$B33="y"</formula>
    </cfRule>
    <cfRule type="expression" dxfId="108" priority="108" stopIfTrue="1">
      <formula>$B33="x"</formula>
    </cfRule>
  </conditionalFormatting>
  <conditionalFormatting sqref="L33">
    <cfRule type="expression" dxfId="107" priority="103" stopIfTrue="1">
      <formula>$B33="z"</formula>
    </cfRule>
    <cfRule type="expression" dxfId="106" priority="104" stopIfTrue="1">
      <formula>$B33="y"</formula>
    </cfRule>
    <cfRule type="expression" dxfId="105" priority="105" stopIfTrue="1">
      <formula>$B33="x"</formula>
    </cfRule>
  </conditionalFormatting>
  <conditionalFormatting sqref="D72:P72">
    <cfRule type="expression" dxfId="104" priority="100" stopIfTrue="1">
      <formula>$B72="z"</formula>
    </cfRule>
    <cfRule type="expression" dxfId="103" priority="101" stopIfTrue="1">
      <formula>$B72="y"</formula>
    </cfRule>
    <cfRule type="expression" dxfId="102" priority="102" stopIfTrue="1">
      <formula>$B72="x"</formula>
    </cfRule>
  </conditionalFormatting>
  <conditionalFormatting sqref="D72:K72">
    <cfRule type="expression" dxfId="101" priority="97" stopIfTrue="1">
      <formula>#REF!="z"</formula>
    </cfRule>
    <cfRule type="expression" dxfId="100" priority="98" stopIfTrue="1">
      <formula>#REF!="y"</formula>
    </cfRule>
    <cfRule type="expression" dxfId="99" priority="99" stopIfTrue="1">
      <formula>#REF!="x"</formula>
    </cfRule>
  </conditionalFormatting>
  <conditionalFormatting sqref="E67">
    <cfRule type="expression" dxfId="98" priority="94" stopIfTrue="1">
      <formula>$B67="z"</formula>
    </cfRule>
    <cfRule type="expression" dxfId="97" priority="95" stopIfTrue="1">
      <formula>$B67="y"</formula>
    </cfRule>
    <cfRule type="expression" dxfId="96" priority="96" stopIfTrue="1">
      <formula>$B67="x"</formula>
    </cfRule>
  </conditionalFormatting>
  <conditionalFormatting sqref="F65:F67">
    <cfRule type="expression" dxfId="95" priority="91" stopIfTrue="1">
      <formula>$B65="z"</formula>
    </cfRule>
    <cfRule type="expression" dxfId="94" priority="92" stopIfTrue="1">
      <formula>$B65="y"</formula>
    </cfRule>
    <cfRule type="expression" dxfId="93" priority="93" stopIfTrue="1">
      <formula>$B65="x"</formula>
    </cfRule>
  </conditionalFormatting>
  <conditionalFormatting sqref="F65:F67">
    <cfRule type="expression" dxfId="92" priority="88" stopIfTrue="1">
      <formula>$B65="z"</formula>
    </cfRule>
    <cfRule type="expression" dxfId="91" priority="89" stopIfTrue="1">
      <formula>$B65="y"</formula>
    </cfRule>
    <cfRule type="expression" dxfId="90" priority="90" stopIfTrue="1">
      <formula>$B65="x"</formula>
    </cfRule>
  </conditionalFormatting>
  <conditionalFormatting sqref="F65:F67">
    <cfRule type="expression" dxfId="89" priority="85" stopIfTrue="1">
      <formula>$B65="z"</formula>
    </cfRule>
    <cfRule type="expression" dxfId="88" priority="86" stopIfTrue="1">
      <formula>$B65="y"</formula>
    </cfRule>
    <cfRule type="expression" dxfId="87" priority="87" stopIfTrue="1">
      <formula>$B65="x"</formula>
    </cfRule>
  </conditionalFormatting>
  <conditionalFormatting sqref="F69">
    <cfRule type="expression" dxfId="86" priority="82" stopIfTrue="1">
      <formula>#REF!="z"</formula>
    </cfRule>
    <cfRule type="expression" dxfId="85" priority="83" stopIfTrue="1">
      <formula>#REF!="y"</formula>
    </cfRule>
    <cfRule type="expression" dxfId="84" priority="84" stopIfTrue="1">
      <formula>#REF!="x"</formula>
    </cfRule>
  </conditionalFormatting>
  <conditionalFormatting sqref="F69">
    <cfRule type="expression" dxfId="83" priority="79" stopIfTrue="1">
      <formula>$B69="z"</formula>
    </cfRule>
    <cfRule type="expression" dxfId="82" priority="80" stopIfTrue="1">
      <formula>$B69="y"</formula>
    </cfRule>
    <cfRule type="expression" dxfId="81" priority="81" stopIfTrue="1">
      <formula>$B69="x"</formula>
    </cfRule>
  </conditionalFormatting>
  <conditionalFormatting sqref="F69">
    <cfRule type="expression" dxfId="80" priority="76" stopIfTrue="1">
      <formula>#REF!="z"</formula>
    </cfRule>
    <cfRule type="expression" dxfId="79" priority="77" stopIfTrue="1">
      <formula>#REF!="y"</formula>
    </cfRule>
    <cfRule type="expression" dxfId="78" priority="78" stopIfTrue="1">
      <formula>#REF!="x"</formula>
    </cfRule>
  </conditionalFormatting>
  <conditionalFormatting sqref="F69">
    <cfRule type="expression" dxfId="77" priority="73" stopIfTrue="1">
      <formula>$B69="z"</formula>
    </cfRule>
    <cfRule type="expression" dxfId="76" priority="74" stopIfTrue="1">
      <formula>$B69="y"</formula>
    </cfRule>
    <cfRule type="expression" dxfId="75" priority="75" stopIfTrue="1">
      <formula>$B69="x"</formula>
    </cfRule>
  </conditionalFormatting>
  <conditionalFormatting sqref="F69">
    <cfRule type="expression" dxfId="74" priority="70" stopIfTrue="1">
      <formula>$B69="z"</formula>
    </cfRule>
    <cfRule type="expression" dxfId="73" priority="71" stopIfTrue="1">
      <formula>$B69="y"</formula>
    </cfRule>
    <cfRule type="expression" dxfId="72" priority="72" stopIfTrue="1">
      <formula>$B69="x"</formula>
    </cfRule>
  </conditionalFormatting>
  <conditionalFormatting sqref="F69">
    <cfRule type="expression" dxfId="71" priority="67" stopIfTrue="1">
      <formula>$B69="z"</formula>
    </cfRule>
    <cfRule type="expression" dxfId="70" priority="68" stopIfTrue="1">
      <formula>$B69="y"</formula>
    </cfRule>
    <cfRule type="expression" dxfId="69" priority="69" stopIfTrue="1">
      <formula>$B69="x"</formula>
    </cfRule>
  </conditionalFormatting>
  <conditionalFormatting sqref="F64">
    <cfRule type="expression" dxfId="68" priority="64" stopIfTrue="1">
      <formula>#REF!="z"</formula>
    </cfRule>
    <cfRule type="expression" dxfId="67" priority="65" stopIfTrue="1">
      <formula>#REF!="y"</formula>
    </cfRule>
    <cfRule type="expression" dxfId="66" priority="66" stopIfTrue="1">
      <formula>#REF!="x"</formula>
    </cfRule>
  </conditionalFormatting>
  <conditionalFormatting sqref="F64">
    <cfRule type="expression" dxfId="65" priority="61" stopIfTrue="1">
      <formula>$B64="z"</formula>
    </cfRule>
    <cfRule type="expression" dxfId="64" priority="62" stopIfTrue="1">
      <formula>$B64="y"</formula>
    </cfRule>
    <cfRule type="expression" dxfId="63" priority="63" stopIfTrue="1">
      <formula>$B64="x"</formula>
    </cfRule>
  </conditionalFormatting>
  <conditionalFormatting sqref="F64">
    <cfRule type="expression" dxfId="62" priority="58" stopIfTrue="1">
      <formula>#REF!="z"</formula>
    </cfRule>
    <cfRule type="expression" dxfId="61" priority="59" stopIfTrue="1">
      <formula>#REF!="y"</formula>
    </cfRule>
    <cfRule type="expression" dxfId="60" priority="60" stopIfTrue="1">
      <formula>#REF!="x"</formula>
    </cfRule>
  </conditionalFormatting>
  <conditionalFormatting sqref="F64">
    <cfRule type="expression" dxfId="59" priority="55" stopIfTrue="1">
      <formula>$B64="z"</formula>
    </cfRule>
    <cfRule type="expression" dxfId="58" priority="56" stopIfTrue="1">
      <formula>$B64="y"</formula>
    </cfRule>
    <cfRule type="expression" dxfId="57" priority="57" stopIfTrue="1">
      <formula>$B64="x"</formula>
    </cfRule>
  </conditionalFormatting>
  <conditionalFormatting sqref="F64">
    <cfRule type="expression" dxfId="56" priority="52" stopIfTrue="1">
      <formula>$B64="z"</formula>
    </cfRule>
    <cfRule type="expression" dxfId="55" priority="53" stopIfTrue="1">
      <formula>$B64="y"</formula>
    </cfRule>
    <cfRule type="expression" dxfId="54" priority="54" stopIfTrue="1">
      <formula>$B64="x"</formula>
    </cfRule>
  </conditionalFormatting>
  <conditionalFormatting sqref="F64">
    <cfRule type="expression" dxfId="53" priority="49" stopIfTrue="1">
      <formula>$B64="z"</formula>
    </cfRule>
    <cfRule type="expression" dxfId="52" priority="50" stopIfTrue="1">
      <formula>$B64="y"</formula>
    </cfRule>
    <cfRule type="expression" dxfId="51" priority="51" stopIfTrue="1">
      <formula>$B64="x"</formula>
    </cfRule>
  </conditionalFormatting>
  <conditionalFormatting sqref="F70">
    <cfRule type="expression" dxfId="50" priority="46" stopIfTrue="1">
      <formula>$B70="z"</formula>
    </cfRule>
    <cfRule type="expression" dxfId="49" priority="47" stopIfTrue="1">
      <formula>$B70="y"</formula>
    </cfRule>
    <cfRule type="expression" dxfId="48" priority="48" stopIfTrue="1">
      <formula>$B70="x"</formula>
    </cfRule>
  </conditionalFormatting>
  <conditionalFormatting sqref="F70">
    <cfRule type="expression" dxfId="47" priority="43" stopIfTrue="1">
      <formula>#REF!="z"</formula>
    </cfRule>
    <cfRule type="expression" dxfId="46" priority="44" stopIfTrue="1">
      <formula>#REF!="y"</formula>
    </cfRule>
    <cfRule type="expression" dxfId="45" priority="45" stopIfTrue="1">
      <formula>#REF!="x"</formula>
    </cfRule>
  </conditionalFormatting>
  <conditionalFormatting sqref="F70">
    <cfRule type="expression" dxfId="44" priority="40" stopIfTrue="1">
      <formula>#REF!="z"</formula>
    </cfRule>
    <cfRule type="expression" dxfId="43" priority="41" stopIfTrue="1">
      <formula>#REF!="y"</formula>
    </cfRule>
    <cfRule type="expression" dxfId="42" priority="42" stopIfTrue="1">
      <formula>#REF!="x"</formula>
    </cfRule>
  </conditionalFormatting>
  <conditionalFormatting sqref="F70">
    <cfRule type="expression" dxfId="41" priority="37" stopIfTrue="1">
      <formula>$B70="z"</formula>
    </cfRule>
    <cfRule type="expression" dxfId="40" priority="38" stopIfTrue="1">
      <formula>$B70="y"</formula>
    </cfRule>
    <cfRule type="expression" dxfId="39" priority="39" stopIfTrue="1">
      <formula>$B70="x"</formula>
    </cfRule>
  </conditionalFormatting>
  <conditionalFormatting sqref="F70">
    <cfRule type="expression" dxfId="38" priority="34" stopIfTrue="1">
      <formula>#REF!="z"</formula>
    </cfRule>
    <cfRule type="expression" dxfId="37" priority="35" stopIfTrue="1">
      <formula>#REF!="y"</formula>
    </cfRule>
    <cfRule type="expression" dxfId="36" priority="36" stopIfTrue="1">
      <formula>#REF!="x"</formula>
    </cfRule>
  </conditionalFormatting>
  <conditionalFormatting sqref="F70">
    <cfRule type="expression" dxfId="35" priority="31" stopIfTrue="1">
      <formula>$B70="z"</formula>
    </cfRule>
    <cfRule type="expression" dxfId="34" priority="32" stopIfTrue="1">
      <formula>$B70="y"</formula>
    </cfRule>
    <cfRule type="expression" dxfId="33" priority="33" stopIfTrue="1">
      <formula>$B70="x"</formula>
    </cfRule>
  </conditionalFormatting>
  <conditionalFormatting sqref="F70">
    <cfRule type="expression" dxfId="32" priority="28" stopIfTrue="1">
      <formula>$B70="z"</formula>
    </cfRule>
    <cfRule type="expression" dxfId="31" priority="29" stopIfTrue="1">
      <formula>$B70="y"</formula>
    </cfRule>
    <cfRule type="expression" dxfId="30" priority="30" stopIfTrue="1">
      <formula>$B70="x"</formula>
    </cfRule>
  </conditionalFormatting>
  <conditionalFormatting sqref="F70">
    <cfRule type="expression" dxfId="29" priority="25" stopIfTrue="1">
      <formula>$B70="z"</formula>
    </cfRule>
    <cfRule type="expression" dxfId="28" priority="26" stopIfTrue="1">
      <formula>$B70="y"</formula>
    </cfRule>
    <cfRule type="expression" dxfId="27" priority="27" stopIfTrue="1">
      <formula>$B70="x"</formula>
    </cfRule>
  </conditionalFormatting>
  <conditionalFormatting sqref="F71">
    <cfRule type="expression" dxfId="26" priority="22" stopIfTrue="1">
      <formula>$B71="z"</formula>
    </cfRule>
    <cfRule type="expression" dxfId="25" priority="23" stopIfTrue="1">
      <formula>$B71="y"</formula>
    </cfRule>
    <cfRule type="expression" dxfId="24" priority="24" stopIfTrue="1">
      <formula>$B71="x"</formula>
    </cfRule>
  </conditionalFormatting>
  <conditionalFormatting sqref="F71">
    <cfRule type="expression" dxfId="23" priority="19" stopIfTrue="1">
      <formula>#REF!="z"</formula>
    </cfRule>
    <cfRule type="expression" dxfId="22" priority="20" stopIfTrue="1">
      <formula>#REF!="y"</formula>
    </cfRule>
    <cfRule type="expression" dxfId="21" priority="21" stopIfTrue="1">
      <formula>#REF!="x"</formula>
    </cfRule>
  </conditionalFormatting>
  <conditionalFormatting sqref="F71">
    <cfRule type="expression" dxfId="20" priority="16" stopIfTrue="1">
      <formula>#REF!="z"</formula>
    </cfRule>
    <cfRule type="expression" dxfId="19" priority="17" stopIfTrue="1">
      <formula>#REF!="y"</formula>
    </cfRule>
    <cfRule type="expression" dxfId="18" priority="18" stopIfTrue="1">
      <formula>#REF!="x"</formula>
    </cfRule>
  </conditionalFormatting>
  <conditionalFormatting sqref="F71">
    <cfRule type="expression" dxfId="17" priority="13" stopIfTrue="1">
      <formula>$B71="z"</formula>
    </cfRule>
    <cfRule type="expression" dxfId="16" priority="14" stopIfTrue="1">
      <formula>$B71="y"</formula>
    </cfRule>
    <cfRule type="expression" dxfId="15" priority="15" stopIfTrue="1">
      <formula>$B71="x"</formula>
    </cfRule>
  </conditionalFormatting>
  <conditionalFormatting sqref="F71">
    <cfRule type="expression" dxfId="14" priority="10" stopIfTrue="1">
      <formula>#REF!="z"</formula>
    </cfRule>
    <cfRule type="expression" dxfId="13" priority="11" stopIfTrue="1">
      <formula>#REF!="y"</formula>
    </cfRule>
    <cfRule type="expression" dxfId="12" priority="12" stopIfTrue="1">
      <formula>#REF!="x"</formula>
    </cfRule>
  </conditionalFormatting>
  <conditionalFormatting sqref="F71">
    <cfRule type="expression" dxfId="11" priority="7" stopIfTrue="1">
      <formula>$B71="z"</formula>
    </cfRule>
    <cfRule type="expression" dxfId="10" priority="8" stopIfTrue="1">
      <formula>$B71="y"</formula>
    </cfRule>
    <cfRule type="expression" dxfId="9" priority="9" stopIfTrue="1">
      <formula>$B71="x"</formula>
    </cfRule>
  </conditionalFormatting>
  <conditionalFormatting sqref="F71">
    <cfRule type="expression" dxfId="8" priority="4" stopIfTrue="1">
      <formula>$B71="z"</formula>
    </cfRule>
    <cfRule type="expression" dxfId="7" priority="5" stopIfTrue="1">
      <formula>$B71="y"</formula>
    </cfRule>
    <cfRule type="expression" dxfId="6" priority="6" stopIfTrue="1">
      <formula>$B71="x"</formula>
    </cfRule>
  </conditionalFormatting>
  <conditionalFormatting sqref="F71">
    <cfRule type="expression" dxfId="5" priority="1" stopIfTrue="1">
      <formula>$B71="z"</formula>
    </cfRule>
    <cfRule type="expression" dxfId="4" priority="2" stopIfTrue="1">
      <formula>$B71="y"</formula>
    </cfRule>
    <cfRule type="expression" dxfId="3" priority="3" stopIfTrue="1">
      <formula>$B71="x"</formula>
    </cfRule>
  </conditionalFormatting>
  <printOptions horizontalCentered="1"/>
  <pageMargins left="0" right="0" top="0.19685039370078741" bottom="0.27559055118110237" header="0.51181102362204722" footer="0"/>
  <pageSetup paperSize="9" scale="42" orientation="portrait" horizontalDpi="300" verticalDpi="300"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sheetPr codeName="Plan2"/>
  <dimension ref="A2:T863"/>
  <sheetViews>
    <sheetView showGridLines="0" view="pageBreakPreview" topLeftCell="A331" zoomScaleNormal="80" zoomScaleSheetLayoutView="100" workbookViewId="0">
      <selection activeCell="G155" sqref="G155"/>
    </sheetView>
  </sheetViews>
  <sheetFormatPr defaultRowHeight="24.95" customHeight="1"/>
  <cols>
    <col min="1" max="1" width="5.140625" style="116" customWidth="1"/>
    <col min="2" max="2" width="1.7109375" style="116" customWidth="1"/>
    <col min="3" max="3" width="13" style="116" customWidth="1"/>
    <col min="4" max="4" width="32.28515625" style="116" customWidth="1"/>
    <col min="5" max="5" width="18.140625" style="116" customWidth="1"/>
    <col min="6" max="6" width="14.5703125" style="116" customWidth="1"/>
    <col min="7" max="7" width="23.140625" style="116" customWidth="1"/>
    <col min="8" max="8" width="18.42578125" style="117" customWidth="1"/>
    <col min="9" max="9" width="15.85546875" style="116" customWidth="1"/>
    <col min="10" max="10" width="15.7109375" style="118" customWidth="1"/>
    <col min="11" max="11" width="4.7109375" style="119" customWidth="1"/>
    <col min="12" max="12" width="9.140625" style="116" customWidth="1"/>
    <col min="13" max="15" width="10.5703125" style="116" customWidth="1"/>
    <col min="16" max="16" width="9.28515625" style="116" customWidth="1"/>
    <col min="17" max="18" width="10.7109375" style="116" customWidth="1"/>
    <col min="19" max="19" width="11" style="116" bestFit="1" customWidth="1"/>
    <col min="20" max="20" width="9.85546875" style="116" bestFit="1" customWidth="1"/>
    <col min="21" max="21" width="11" style="116" bestFit="1" customWidth="1"/>
    <col min="22" max="16384" width="9.140625" style="116"/>
  </cols>
  <sheetData>
    <row r="2" spans="3:19" ht="12.75" customHeight="1"/>
    <row r="3" spans="3:19" ht="24.95" customHeight="1">
      <c r="C3" s="120"/>
      <c r="D3" s="121"/>
      <c r="E3" s="121"/>
      <c r="F3" s="121"/>
      <c r="G3" s="121"/>
      <c r="H3" s="122"/>
      <c r="I3" s="121"/>
      <c r="J3" s="123"/>
    </row>
    <row r="4" spans="3:19" ht="24.95" customHeight="1">
      <c r="C4" s="124"/>
      <c r="J4" s="125"/>
    </row>
    <row r="5" spans="3:19" ht="24.95" customHeight="1">
      <c r="C5" s="584" t="s">
        <v>8</v>
      </c>
      <c r="D5" s="585"/>
      <c r="E5" s="128"/>
      <c r="F5" s="128"/>
      <c r="G5" s="128"/>
      <c r="H5" s="129"/>
      <c r="I5" s="129"/>
      <c r="J5" s="130"/>
    </row>
    <row r="6" spans="3:19" ht="24.95" customHeight="1">
      <c r="C6" s="586" t="str">
        <f>Orçamento!D8</f>
        <v>PREFEITURA MUNICIPAL DE POUSO ALEGRE</v>
      </c>
      <c r="D6" s="587"/>
      <c r="E6" s="587"/>
      <c r="F6" s="587"/>
      <c r="G6" s="587"/>
      <c r="H6" s="587"/>
      <c r="I6" s="131"/>
      <c r="J6" s="132"/>
    </row>
    <row r="7" spans="3:19" ht="2.25" customHeight="1">
      <c r="C7" s="126"/>
      <c r="D7" s="127"/>
      <c r="E7" s="127"/>
      <c r="F7" s="127"/>
      <c r="G7" s="127"/>
      <c r="H7" s="127"/>
      <c r="I7" s="129"/>
      <c r="J7" s="130"/>
    </row>
    <row r="8" spans="3:19" ht="24.95" customHeight="1">
      <c r="C8" s="595" t="str">
        <f>Orçamento!D10</f>
        <v>Empreendimento:</v>
      </c>
      <c r="D8" s="596"/>
      <c r="E8" s="110" t="str">
        <f>Orçamento!F10</f>
        <v>CEMA</v>
      </c>
      <c r="F8" s="129"/>
      <c r="G8" s="129"/>
      <c r="H8" s="129"/>
      <c r="I8" s="129"/>
      <c r="J8" s="134" t="s">
        <v>43</v>
      </c>
    </row>
    <row r="9" spans="3:19" ht="24.95" customHeight="1" thickBot="1">
      <c r="C9" s="135"/>
      <c r="D9" s="129"/>
      <c r="E9" s="136"/>
      <c r="F9" s="136"/>
      <c r="G9" s="136"/>
      <c r="H9" s="136"/>
      <c r="I9" s="129"/>
      <c r="J9" s="137" t="str">
        <f>Orçamento!M11</f>
        <v>Pouso Alegre</v>
      </c>
    </row>
    <row r="10" spans="3:19" ht="4.5" customHeight="1">
      <c r="C10" s="133"/>
      <c r="D10" s="138"/>
      <c r="E10" s="129"/>
      <c r="F10" s="129"/>
      <c r="G10" s="129"/>
      <c r="H10" s="129"/>
      <c r="I10" s="138"/>
      <c r="J10" s="139"/>
    </row>
    <row r="11" spans="3:19" ht="10.5" customHeight="1">
      <c r="C11" s="588" t="s">
        <v>7</v>
      </c>
      <c r="D11" s="594" t="s">
        <v>6</v>
      </c>
      <c r="E11" s="594"/>
      <c r="F11" s="594"/>
      <c r="G11" s="594"/>
      <c r="H11" s="594"/>
      <c r="I11" s="594" t="s">
        <v>29</v>
      </c>
      <c r="J11" s="513" t="s">
        <v>30</v>
      </c>
      <c r="M11" s="129"/>
      <c r="N11" s="129"/>
      <c r="O11" s="129"/>
      <c r="P11" s="129"/>
      <c r="Q11" s="129"/>
    </row>
    <row r="12" spans="3:19" ht="12.75" customHeight="1">
      <c r="C12" s="589"/>
      <c r="D12" s="594"/>
      <c r="E12" s="594"/>
      <c r="F12" s="594"/>
      <c r="G12" s="594"/>
      <c r="H12" s="594"/>
      <c r="I12" s="594"/>
      <c r="J12" s="513"/>
      <c r="M12" s="129"/>
      <c r="N12" s="129"/>
      <c r="O12" s="129"/>
      <c r="P12" s="129"/>
      <c r="Q12" s="129"/>
    </row>
    <row r="13" spans="3:19" ht="14.25" customHeight="1">
      <c r="C13" s="590"/>
      <c r="D13" s="594"/>
      <c r="E13" s="594"/>
      <c r="F13" s="594"/>
      <c r="G13" s="594"/>
      <c r="H13" s="594"/>
      <c r="I13" s="594"/>
      <c r="J13" s="513"/>
      <c r="M13" s="129"/>
      <c r="N13" s="129"/>
      <c r="O13" s="129"/>
      <c r="P13" s="129"/>
      <c r="Q13" s="129"/>
    </row>
    <row r="14" spans="3:19" ht="3" customHeight="1" thickBot="1">
      <c r="C14" s="591"/>
      <c r="D14" s="592"/>
      <c r="E14" s="592"/>
      <c r="F14" s="592"/>
      <c r="G14" s="592"/>
      <c r="H14" s="592"/>
      <c r="I14" s="592"/>
      <c r="J14" s="593"/>
      <c r="M14" s="129"/>
      <c r="N14" s="129"/>
      <c r="O14" s="129"/>
      <c r="P14" s="129"/>
      <c r="Q14" s="129"/>
    </row>
    <row r="15" spans="3:19" s="140" customFormat="1" ht="24.95" customHeight="1" thickBot="1">
      <c r="C15" s="335">
        <v>1</v>
      </c>
      <c r="D15" s="597" t="str">
        <f>VLOOKUP($C15,Orçamento!D:P,4,0)</f>
        <v>SERVIÇOS PRELIMINARES</v>
      </c>
      <c r="E15" s="597"/>
      <c r="F15" s="597"/>
      <c r="G15" s="597"/>
      <c r="H15" s="597"/>
      <c r="I15" s="203"/>
      <c r="J15" s="271"/>
      <c r="K15" s="141"/>
      <c r="M15" s="142"/>
      <c r="N15" s="142"/>
      <c r="O15" s="142"/>
      <c r="P15" s="142"/>
      <c r="Q15" s="142"/>
    </row>
    <row r="16" spans="3:19" ht="26.25" customHeight="1">
      <c r="C16" s="114" t="s">
        <v>61</v>
      </c>
      <c r="D16" s="523" t="str">
        <f>VLOOKUP($C16,Orçamento!D:P,4,0)</f>
        <v>Placa de Obra em chapa de aço galvanizado</v>
      </c>
      <c r="E16" s="523"/>
      <c r="F16" s="523"/>
      <c r="G16" s="523"/>
      <c r="H16" s="523"/>
      <c r="I16" s="105" t="str">
        <f>Orçamento!L25</f>
        <v>m²</v>
      </c>
      <c r="J16" s="143">
        <v>5</v>
      </c>
      <c r="M16" s="129"/>
      <c r="N16" s="129"/>
      <c r="O16" s="129"/>
      <c r="P16" s="129"/>
      <c r="Q16" s="129"/>
      <c r="R16" s="129"/>
      <c r="S16" s="129"/>
    </row>
    <row r="17" spans="3:19" ht="29.25" customHeight="1">
      <c r="C17" s="114" t="s">
        <v>62</v>
      </c>
      <c r="D17" s="534" t="str">
        <f>VLOOKUP($C17,Orçamento!D:P,4,0)</f>
        <v>Locacao convencional de obra, através de gabarito de tabuas corridas pontaletadas, sem reaproveitamento</v>
      </c>
      <c r="E17" s="534"/>
      <c r="F17" s="534"/>
      <c r="G17" s="534"/>
      <c r="H17" s="534"/>
      <c r="I17" s="444" t="s">
        <v>67</v>
      </c>
      <c r="J17" s="145">
        <f>F20</f>
        <v>340</v>
      </c>
    </row>
    <row r="18" spans="3:19" ht="8.25" customHeight="1">
      <c r="C18" s="198"/>
      <c r="D18" s="328"/>
      <c r="E18" s="328"/>
      <c r="F18" s="328"/>
      <c r="G18" s="328"/>
      <c r="H18" s="328"/>
      <c r="I18" s="397"/>
      <c r="J18" s="184"/>
    </row>
    <row r="19" spans="3:19" ht="18" customHeight="1">
      <c r="C19" s="394"/>
      <c r="D19" s="194" t="s">
        <v>256</v>
      </c>
      <c r="E19" s="575" t="s">
        <v>255</v>
      </c>
      <c r="F19" s="575"/>
      <c r="G19" s="575"/>
      <c r="H19" s="194"/>
      <c r="I19" s="395"/>
      <c r="J19" s="183"/>
    </row>
    <row r="20" spans="3:19" ht="18" customHeight="1">
      <c r="C20" s="394"/>
      <c r="D20" s="194" t="s">
        <v>91</v>
      </c>
      <c r="E20" s="435" t="s">
        <v>257</v>
      </c>
      <c r="F20" s="194">
        <v>340</v>
      </c>
      <c r="G20" s="194" t="s">
        <v>67</v>
      </c>
      <c r="H20" s="194"/>
      <c r="I20" s="395"/>
      <c r="J20" s="183"/>
    </row>
    <row r="21" spans="3:19" ht="18" customHeight="1">
      <c r="C21" s="394"/>
      <c r="D21" s="194"/>
      <c r="E21" s="396"/>
      <c r="F21" s="194"/>
      <c r="G21" s="194"/>
      <c r="H21" s="194"/>
      <c r="I21" s="395"/>
      <c r="J21" s="183"/>
    </row>
    <row r="22" spans="3:19" ht="6" customHeight="1" thickBot="1">
      <c r="C22" s="199"/>
      <c r="D22" s="399"/>
      <c r="E22" s="399"/>
      <c r="F22" s="399"/>
      <c r="G22" s="399"/>
      <c r="H22" s="399"/>
      <c r="I22" s="398"/>
      <c r="J22" s="186"/>
    </row>
    <row r="23" spans="3:19" s="140" customFormat="1" ht="24.95" customHeight="1" thickBot="1">
      <c r="C23" s="202">
        <v>2</v>
      </c>
      <c r="D23" s="535" t="str">
        <f>VLOOKUP($C23,Orçamento!D:P,4,0)</f>
        <v>FUNDAÇÃO</v>
      </c>
      <c r="E23" s="535"/>
      <c r="F23" s="535"/>
      <c r="G23" s="535"/>
      <c r="H23" s="535"/>
      <c r="I23" s="203"/>
      <c r="J23" s="204"/>
      <c r="K23" s="141"/>
      <c r="M23" s="142"/>
      <c r="N23" s="142"/>
      <c r="O23" s="142"/>
      <c r="P23" s="142"/>
      <c r="Q23" s="142"/>
    </row>
    <row r="24" spans="3:19" ht="26.25" customHeight="1">
      <c r="C24" s="176" t="s">
        <v>77</v>
      </c>
      <c r="D24" s="565" t="str">
        <f>Orçamento!G28</f>
        <v>Mobilização e desmobilização de equipamento</v>
      </c>
      <c r="E24" s="565"/>
      <c r="F24" s="565"/>
      <c r="G24" s="565"/>
      <c r="H24" s="565"/>
      <c r="I24" s="445" t="str">
        <f>Orçamento!L28</f>
        <v>Vb</v>
      </c>
      <c r="J24" s="145">
        <v>1</v>
      </c>
      <c r="M24" s="129"/>
      <c r="N24" s="129"/>
      <c r="O24" s="129"/>
      <c r="P24" s="129"/>
      <c r="Q24" s="129"/>
      <c r="R24" s="129"/>
      <c r="S24" s="129"/>
    </row>
    <row r="25" spans="3:19" ht="27" customHeight="1">
      <c r="C25" s="176" t="s">
        <v>107</v>
      </c>
      <c r="D25" s="534" t="str">
        <f>VLOOKUP($C25,Orçamento!D:P,4,0)</f>
        <v>Estaca broca perfurada a trado mecanizado perfuração D=35cm</v>
      </c>
      <c r="E25" s="534"/>
      <c r="F25" s="534"/>
      <c r="G25" s="534"/>
      <c r="H25" s="534"/>
      <c r="I25" s="444" t="str">
        <f>Orçamento!L29</f>
        <v>m</v>
      </c>
      <c r="J25" s="145">
        <f>F29</f>
        <v>1320</v>
      </c>
      <c r="M25" s="129"/>
      <c r="N25" s="129"/>
      <c r="O25" s="129"/>
      <c r="P25" s="129"/>
      <c r="Q25" s="129"/>
      <c r="R25" s="129"/>
      <c r="S25" s="129"/>
    </row>
    <row r="26" spans="3:19" ht="14.25" customHeight="1">
      <c r="C26" s="259"/>
      <c r="D26" s="256"/>
      <c r="E26" s="256"/>
      <c r="F26" s="256"/>
      <c r="G26" s="256"/>
      <c r="H26" s="256"/>
      <c r="I26" s="260"/>
      <c r="J26" s="228"/>
      <c r="M26" s="129"/>
      <c r="N26" s="129"/>
      <c r="O26" s="129"/>
      <c r="P26" s="129"/>
      <c r="Q26" s="129"/>
      <c r="R26" s="129"/>
      <c r="S26" s="129"/>
    </row>
    <row r="27" spans="3:19" ht="24" customHeight="1">
      <c r="C27" s="261"/>
      <c r="D27" s="302"/>
      <c r="E27" s="380" t="s">
        <v>137</v>
      </c>
      <c r="F27" s="381">
        <f>66*2</f>
        <v>132</v>
      </c>
      <c r="G27" s="382"/>
      <c r="H27" s="257"/>
      <c r="I27" s="182"/>
      <c r="J27" s="229"/>
      <c r="M27" s="129"/>
      <c r="N27" s="129"/>
      <c r="O27" s="129"/>
      <c r="P27" s="129"/>
      <c r="Q27" s="129"/>
      <c r="R27" s="129"/>
      <c r="S27" s="129"/>
    </row>
    <row r="28" spans="3:19" ht="22.5" customHeight="1">
      <c r="C28" s="261"/>
      <c r="D28" s="302"/>
      <c r="E28" s="380" t="s">
        <v>88</v>
      </c>
      <c r="F28" s="381">
        <v>10</v>
      </c>
      <c r="G28" s="382" t="s">
        <v>67</v>
      </c>
      <c r="H28" s="257"/>
      <c r="I28" s="182"/>
      <c r="J28" s="229"/>
      <c r="M28" s="129"/>
      <c r="N28" s="129"/>
      <c r="O28" s="129"/>
      <c r="P28" s="129"/>
      <c r="Q28" s="129"/>
      <c r="R28" s="129"/>
      <c r="S28" s="129"/>
    </row>
    <row r="29" spans="3:19" ht="18" customHeight="1">
      <c r="C29" s="261"/>
      <c r="D29" s="302"/>
      <c r="E29" s="380" t="s">
        <v>0</v>
      </c>
      <c r="F29" s="383">
        <f>F27*F28</f>
        <v>1320</v>
      </c>
      <c r="G29" s="382" t="s">
        <v>67</v>
      </c>
      <c r="H29" s="257"/>
      <c r="I29" s="182"/>
      <c r="J29" s="229"/>
      <c r="M29" s="129"/>
      <c r="N29" s="129"/>
      <c r="O29" s="129"/>
      <c r="P29" s="129"/>
      <c r="Q29" s="129"/>
      <c r="R29" s="129"/>
      <c r="S29" s="129"/>
    </row>
    <row r="30" spans="3:19" ht="14.25" customHeight="1">
      <c r="C30" s="261"/>
      <c r="D30" s="257"/>
      <c r="E30" s="262"/>
      <c r="F30" s="257"/>
      <c r="G30" s="257"/>
      <c r="H30" s="257"/>
      <c r="I30" s="182"/>
      <c r="J30" s="229"/>
      <c r="M30" s="129"/>
      <c r="N30" s="129"/>
      <c r="O30" s="129"/>
      <c r="P30" s="129"/>
      <c r="Q30" s="129"/>
      <c r="R30" s="129"/>
      <c r="S30" s="129"/>
    </row>
    <row r="31" spans="3:19" ht="26.25" customHeight="1">
      <c r="C31" s="176" t="s">
        <v>152</v>
      </c>
      <c r="D31" s="534" t="str">
        <f>VLOOKUP($C31,Orçamento!D:P,4,0)</f>
        <v>Concreto usinado lançado em fundação FCK&gt;=20 Mpa</v>
      </c>
      <c r="E31" s="534"/>
      <c r="F31" s="534"/>
      <c r="G31" s="534"/>
      <c r="H31" s="534"/>
      <c r="I31" s="176" t="s">
        <v>258</v>
      </c>
      <c r="J31" s="145">
        <f>F35</f>
        <v>126.9345</v>
      </c>
      <c r="M31" s="129"/>
      <c r="N31" s="129"/>
      <c r="O31" s="129"/>
      <c r="P31" s="129"/>
      <c r="Q31" s="129"/>
      <c r="R31" s="129"/>
      <c r="S31" s="129"/>
    </row>
    <row r="32" spans="3:19" ht="14.25" customHeight="1">
      <c r="C32" s="259"/>
      <c r="D32" s="256"/>
      <c r="E32" s="256"/>
      <c r="F32" s="256"/>
      <c r="G32" s="256"/>
      <c r="H32" s="256"/>
      <c r="I32" s="260"/>
      <c r="J32" s="228"/>
      <c r="M32" s="129"/>
      <c r="N32" s="129"/>
      <c r="O32" s="129"/>
      <c r="P32" s="129"/>
      <c r="Q32" s="129"/>
      <c r="R32" s="129"/>
      <c r="S32" s="129"/>
    </row>
    <row r="33" spans="3:19" ht="24" customHeight="1">
      <c r="C33" s="261"/>
      <c r="D33" s="302"/>
      <c r="E33" s="380" t="s">
        <v>137</v>
      </c>
      <c r="F33" s="381">
        <f>J25</f>
        <v>1320</v>
      </c>
      <c r="G33" s="382" t="s">
        <v>67</v>
      </c>
      <c r="H33" s="257"/>
      <c r="I33" s="182"/>
      <c r="J33" s="229"/>
      <c r="M33" s="129"/>
      <c r="N33" s="129"/>
      <c r="O33" s="129"/>
      <c r="P33" s="129"/>
      <c r="Q33" s="129"/>
      <c r="R33" s="129"/>
      <c r="S33" s="129"/>
    </row>
    <row r="34" spans="3:19" ht="22.5" customHeight="1">
      <c r="C34" s="261"/>
      <c r="D34" s="302"/>
      <c r="E34" s="380" t="s">
        <v>85</v>
      </c>
      <c r="F34" s="381">
        <f>0.175*0.175*3.14</f>
        <v>9.6162499999999998E-2</v>
      </c>
      <c r="G34" s="382" t="s">
        <v>64</v>
      </c>
      <c r="H34" s="257"/>
      <c r="I34" s="182"/>
      <c r="J34" s="229"/>
      <c r="M34" s="129"/>
      <c r="N34" s="129"/>
      <c r="O34" s="129"/>
      <c r="P34" s="129"/>
      <c r="Q34" s="129"/>
      <c r="R34" s="129"/>
      <c r="S34" s="129"/>
    </row>
    <row r="35" spans="3:19" ht="18" customHeight="1">
      <c r="C35" s="261"/>
      <c r="D35" s="302"/>
      <c r="E35" s="380" t="s">
        <v>0</v>
      </c>
      <c r="F35" s="383">
        <f>F33*F34</f>
        <v>126.9345</v>
      </c>
      <c r="G35" s="382" t="s">
        <v>66</v>
      </c>
      <c r="H35" s="257"/>
      <c r="I35" s="182"/>
      <c r="J35" s="229"/>
      <c r="M35" s="129"/>
      <c r="N35" s="129"/>
      <c r="O35" s="129"/>
      <c r="P35" s="129"/>
      <c r="Q35" s="129"/>
      <c r="R35" s="129"/>
      <c r="S35" s="129"/>
    </row>
    <row r="36" spans="3:19" ht="14.25" customHeight="1">
      <c r="C36" s="261"/>
      <c r="D36" s="257"/>
      <c r="E36" s="262"/>
      <c r="F36" s="257"/>
      <c r="G36" s="257"/>
      <c r="H36" s="257"/>
      <c r="I36" s="182"/>
      <c r="J36" s="229"/>
      <c r="M36" s="129"/>
      <c r="N36" s="129"/>
      <c r="O36" s="129"/>
      <c r="P36" s="129"/>
      <c r="Q36" s="129"/>
      <c r="R36" s="129"/>
      <c r="S36" s="129"/>
    </row>
    <row r="37" spans="3:19" ht="33.75" customHeight="1">
      <c r="C37" s="176" t="s">
        <v>153</v>
      </c>
      <c r="D37" s="534" t="str">
        <f>VLOOKUP($C37,Orçamento!D:P,4,0)</f>
        <v>Armacao (fornecimento, corte, dobra e colocação) aço CA-50, Diam. 6,3 (1/4) à 12,5mm(1/2)</v>
      </c>
      <c r="E37" s="534"/>
      <c r="F37" s="534"/>
      <c r="G37" s="534"/>
      <c r="H37" s="534"/>
      <c r="I37" s="176" t="s">
        <v>106</v>
      </c>
      <c r="J37" s="145">
        <f>F43</f>
        <v>2090.88</v>
      </c>
    </row>
    <row r="38" spans="3:19" ht="14.25" customHeight="1">
      <c r="C38" s="259"/>
      <c r="D38" s="256"/>
      <c r="E38" s="256"/>
      <c r="F38" s="256"/>
      <c r="G38" s="256"/>
      <c r="H38" s="256"/>
      <c r="I38" s="260"/>
      <c r="J38" s="228"/>
      <c r="M38" s="129"/>
      <c r="N38" s="129"/>
      <c r="O38" s="129"/>
      <c r="P38" s="129"/>
      <c r="Q38" s="129"/>
      <c r="R38" s="129"/>
      <c r="S38" s="129"/>
    </row>
    <row r="39" spans="3:19" ht="24" customHeight="1">
      <c r="C39" s="261"/>
      <c r="D39" s="302"/>
      <c r="E39" s="380" t="s">
        <v>137</v>
      </c>
      <c r="F39" s="381">
        <v>132</v>
      </c>
      <c r="G39" s="382"/>
      <c r="H39" s="257"/>
      <c r="I39" s="182"/>
      <c r="J39" s="229"/>
      <c r="M39" s="129"/>
      <c r="N39" s="129"/>
      <c r="O39" s="129"/>
      <c r="P39" s="129"/>
      <c r="Q39" s="129"/>
      <c r="R39" s="129"/>
      <c r="S39" s="129"/>
    </row>
    <row r="40" spans="3:19" ht="22.5" customHeight="1">
      <c r="C40" s="261"/>
      <c r="D40" s="302"/>
      <c r="E40" s="380" t="s">
        <v>88</v>
      </c>
      <c r="F40" s="381">
        <v>4</v>
      </c>
      <c r="G40" s="382" t="s">
        <v>67</v>
      </c>
      <c r="H40" s="257"/>
      <c r="I40" s="182"/>
      <c r="J40" s="229"/>
      <c r="M40" s="129"/>
      <c r="N40" s="129"/>
      <c r="O40" s="129"/>
      <c r="P40" s="129"/>
      <c r="Q40" s="129"/>
      <c r="R40" s="129"/>
      <c r="S40" s="129"/>
    </row>
    <row r="41" spans="3:19" ht="22.5" customHeight="1">
      <c r="C41" s="261"/>
      <c r="D41" s="302"/>
      <c r="E41" s="380" t="s">
        <v>84</v>
      </c>
      <c r="F41" s="381">
        <v>4</v>
      </c>
      <c r="G41" s="382"/>
      <c r="H41" s="257"/>
      <c r="I41" s="182"/>
      <c r="J41" s="229"/>
      <c r="M41" s="129"/>
      <c r="N41" s="129"/>
      <c r="O41" s="129"/>
      <c r="P41" s="129"/>
      <c r="Q41" s="129"/>
      <c r="R41" s="129"/>
      <c r="S41" s="129"/>
    </row>
    <row r="42" spans="3:19" ht="22.5" customHeight="1">
      <c r="C42" s="261"/>
      <c r="D42" s="302"/>
      <c r="E42" s="380" t="s">
        <v>260</v>
      </c>
      <c r="F42" s="381">
        <v>0.99</v>
      </c>
      <c r="G42" s="384" t="s">
        <v>89</v>
      </c>
      <c r="H42" s="257"/>
      <c r="I42" s="182"/>
      <c r="J42" s="229"/>
      <c r="M42" s="129"/>
      <c r="N42" s="129"/>
      <c r="O42" s="129"/>
      <c r="P42" s="129"/>
      <c r="Q42" s="129"/>
      <c r="R42" s="129"/>
      <c r="S42" s="129"/>
    </row>
    <row r="43" spans="3:19" ht="18" customHeight="1">
      <c r="C43" s="261"/>
      <c r="D43" s="302"/>
      <c r="E43" s="380" t="s">
        <v>0</v>
      </c>
      <c r="F43" s="383">
        <f>F39*F40*F41*F42</f>
        <v>2090.88</v>
      </c>
      <c r="G43" s="382" t="s">
        <v>73</v>
      </c>
      <c r="H43" s="257"/>
      <c r="I43" s="182"/>
      <c r="J43" s="229"/>
      <c r="M43" s="129"/>
      <c r="N43" s="129"/>
      <c r="O43" s="129"/>
      <c r="P43" s="129"/>
      <c r="Q43" s="129"/>
      <c r="R43" s="129"/>
      <c r="S43" s="129"/>
    </row>
    <row r="44" spans="3:19" ht="14.25" customHeight="1">
      <c r="C44" s="261"/>
      <c r="D44" s="257"/>
      <c r="E44" s="262"/>
      <c r="F44" s="257"/>
      <c r="G44" s="257"/>
      <c r="H44" s="257"/>
      <c r="I44" s="182"/>
      <c r="J44" s="229"/>
      <c r="M44" s="129"/>
      <c r="N44" s="129"/>
      <c r="O44" s="129"/>
      <c r="P44" s="129"/>
      <c r="Q44" s="129"/>
      <c r="R44" s="129"/>
      <c r="S44" s="129"/>
    </row>
    <row r="45" spans="3:19" ht="32.25" customHeight="1">
      <c r="C45" s="176" t="s">
        <v>168</v>
      </c>
      <c r="D45" s="534" t="str">
        <f>VLOOKUP($C45,Orçamento!D:P,4,0)</f>
        <v>Armacao de aco ca-60 Diam. D3,4 a 6,0mm,- Fornecimento / Corte /(c/perda de 10%) / Dobra / Colocação.</v>
      </c>
      <c r="E45" s="534"/>
      <c r="F45" s="534"/>
      <c r="G45" s="534"/>
      <c r="H45" s="534"/>
      <c r="I45" s="176" t="s">
        <v>106</v>
      </c>
      <c r="J45" s="145">
        <f>F52</f>
        <v>356.4</v>
      </c>
    </row>
    <row r="46" spans="3:19" ht="14.25" customHeight="1">
      <c r="C46" s="259"/>
      <c r="D46" s="256"/>
      <c r="E46" s="256"/>
      <c r="F46" s="256"/>
      <c r="G46" s="256"/>
      <c r="H46" s="256"/>
      <c r="I46" s="260"/>
      <c r="J46" s="228"/>
      <c r="M46" s="129"/>
      <c r="N46" s="129"/>
      <c r="O46" s="129"/>
      <c r="P46" s="129"/>
      <c r="Q46" s="129"/>
      <c r="R46" s="129"/>
      <c r="S46" s="129"/>
    </row>
    <row r="47" spans="3:19" ht="24" customHeight="1">
      <c r="C47" s="261"/>
      <c r="D47" s="302"/>
      <c r="E47" s="386" t="s">
        <v>142</v>
      </c>
      <c r="F47" s="381"/>
      <c r="G47" s="382"/>
      <c r="H47" s="257"/>
      <c r="I47" s="182"/>
      <c r="J47" s="229"/>
      <c r="M47" s="129"/>
      <c r="N47" s="129"/>
      <c r="O47" s="129"/>
      <c r="P47" s="129"/>
      <c r="Q47" s="129"/>
      <c r="R47" s="129"/>
      <c r="S47" s="129"/>
    </row>
    <row r="48" spans="3:19" ht="24" customHeight="1">
      <c r="C48" s="261"/>
      <c r="D48" s="302"/>
      <c r="E48" s="384" t="s">
        <v>137</v>
      </c>
      <c r="F48" s="381">
        <v>132</v>
      </c>
      <c r="G48" s="382"/>
      <c r="H48" s="257"/>
      <c r="I48" s="182"/>
      <c r="J48" s="229"/>
      <c r="M48" s="129"/>
      <c r="N48" s="129"/>
      <c r="O48" s="129"/>
      <c r="P48" s="129"/>
      <c r="Q48" s="129"/>
      <c r="R48" s="129"/>
      <c r="S48" s="129"/>
    </row>
    <row r="49" spans="3:19" ht="22.5" customHeight="1">
      <c r="C49" s="261"/>
      <c r="D49" s="302"/>
      <c r="E49" s="384" t="s">
        <v>140</v>
      </c>
      <c r="F49" s="381">
        <v>1</v>
      </c>
      <c r="G49" s="382" t="s">
        <v>67</v>
      </c>
      <c r="H49" s="257"/>
      <c r="I49" s="182"/>
      <c r="J49" s="229"/>
      <c r="M49" s="129"/>
      <c r="N49" s="129"/>
      <c r="O49" s="129"/>
      <c r="P49" s="129"/>
      <c r="Q49" s="129"/>
      <c r="R49" s="129"/>
      <c r="S49" s="129"/>
    </row>
    <row r="50" spans="3:19" ht="22.5" customHeight="1">
      <c r="C50" s="261"/>
      <c r="D50" s="302"/>
      <c r="E50" s="384" t="s">
        <v>84</v>
      </c>
      <c r="F50" s="381">
        <v>18</v>
      </c>
      <c r="G50" s="382" t="s">
        <v>67</v>
      </c>
      <c r="H50" s="257"/>
      <c r="I50" s="182"/>
      <c r="J50" s="229"/>
      <c r="M50" s="129"/>
      <c r="N50" s="129"/>
      <c r="O50" s="129"/>
      <c r="P50" s="129"/>
      <c r="Q50" s="129"/>
      <c r="R50" s="129"/>
      <c r="S50" s="129"/>
    </row>
    <row r="51" spans="3:19" ht="22.5" customHeight="1">
      <c r="C51" s="261"/>
      <c r="D51" s="302"/>
      <c r="E51" s="384" t="s">
        <v>141</v>
      </c>
      <c r="F51" s="381">
        <v>0.154</v>
      </c>
      <c r="G51" s="384" t="s">
        <v>89</v>
      </c>
      <c r="H51" s="257"/>
      <c r="I51" s="182"/>
      <c r="J51" s="229"/>
      <c r="M51" s="129"/>
      <c r="N51" s="129"/>
      <c r="O51" s="129"/>
      <c r="P51" s="129"/>
      <c r="Q51" s="129"/>
      <c r="R51" s="129"/>
      <c r="S51" s="129"/>
    </row>
    <row r="52" spans="3:19" ht="18" customHeight="1">
      <c r="C52" s="261"/>
      <c r="D52" s="302"/>
      <c r="E52" s="384" t="s">
        <v>0</v>
      </c>
      <c r="F52" s="383">
        <f>132*1*18*0.15</f>
        <v>356.4</v>
      </c>
      <c r="G52" s="382" t="s">
        <v>73</v>
      </c>
      <c r="H52" s="257"/>
      <c r="I52" s="182"/>
      <c r="J52" s="229"/>
      <c r="M52" s="129"/>
      <c r="N52" s="129"/>
      <c r="O52" s="129"/>
      <c r="P52" s="129"/>
      <c r="Q52" s="129"/>
      <c r="R52" s="129"/>
      <c r="S52" s="129"/>
    </row>
    <row r="53" spans="3:19" ht="14.25" customHeight="1">
      <c r="C53" s="261"/>
      <c r="D53" s="257"/>
      <c r="E53" s="262"/>
      <c r="F53" s="257"/>
      <c r="G53" s="257"/>
      <c r="H53" s="257"/>
      <c r="I53" s="182"/>
      <c r="J53" s="229"/>
      <c r="M53" s="129"/>
      <c r="N53" s="129"/>
      <c r="O53" s="129"/>
      <c r="P53" s="129"/>
      <c r="Q53" s="129"/>
      <c r="R53" s="129"/>
      <c r="S53" s="129"/>
    </row>
    <row r="54" spans="3:19" ht="50.25" customHeight="1">
      <c r="C54" s="177" t="s">
        <v>169</v>
      </c>
      <c r="D54" s="565" t="str">
        <f>VLOOKUP($C54,Orçamento!D:P,4,0)</f>
        <v>FORMA PARA ESTRUTURAS DE CONCRETO , ESPESSURA = 12 MM,(FABRICACAO, MONTAGEM E DESMONTAGEM)</v>
      </c>
      <c r="E54" s="565"/>
      <c r="F54" s="565"/>
      <c r="G54" s="565"/>
      <c r="H54" s="565"/>
      <c r="I54" s="177" t="s">
        <v>229</v>
      </c>
      <c r="J54" s="151">
        <f>E62+H61</f>
        <v>504.79999999999995</v>
      </c>
    </row>
    <row r="55" spans="3:19" ht="11.25" customHeight="1">
      <c r="C55" s="198"/>
      <c r="D55" s="328"/>
      <c r="E55" s="328"/>
      <c r="F55" s="328"/>
      <c r="G55" s="328"/>
      <c r="H55" s="328"/>
      <c r="I55" s="329"/>
      <c r="J55" s="184"/>
      <c r="M55" s="129"/>
      <c r="N55" s="129"/>
    </row>
    <row r="56" spans="3:19" ht="18" customHeight="1">
      <c r="C56" s="326"/>
      <c r="D56" s="385" t="s">
        <v>144</v>
      </c>
      <c r="E56" s="237"/>
      <c r="F56" s="236"/>
      <c r="G56" s="582" t="s">
        <v>145</v>
      </c>
      <c r="H56" s="582"/>
      <c r="I56" s="582"/>
      <c r="J56" s="183"/>
      <c r="M56" s="129"/>
      <c r="N56" s="129"/>
    </row>
    <row r="57" spans="3:19" ht="18" customHeight="1">
      <c r="C57" s="436"/>
      <c r="D57" s="601" t="s">
        <v>261</v>
      </c>
      <c r="E57" s="602"/>
      <c r="F57" s="236"/>
      <c r="G57" s="579" t="s">
        <v>262</v>
      </c>
      <c r="H57" s="581"/>
      <c r="I57" s="580"/>
      <c r="J57" s="183"/>
      <c r="M57" s="129"/>
      <c r="N57" s="129"/>
    </row>
    <row r="58" spans="3:19" ht="18" customHeight="1">
      <c r="C58" s="326"/>
      <c r="D58" s="236" t="s">
        <v>87</v>
      </c>
      <c r="E58" s="446">
        <v>0.6</v>
      </c>
      <c r="F58" s="236" t="s">
        <v>67</v>
      </c>
      <c r="G58" s="236" t="s">
        <v>87</v>
      </c>
      <c r="H58" s="237">
        <v>0.2</v>
      </c>
      <c r="I58" s="236" t="s">
        <v>67</v>
      </c>
      <c r="J58" s="183"/>
      <c r="M58" s="129"/>
      <c r="N58" s="129"/>
    </row>
    <row r="59" spans="3:19" ht="18.75" customHeight="1">
      <c r="C59" s="326"/>
      <c r="D59" s="236" t="s">
        <v>86</v>
      </c>
      <c r="E59" s="446">
        <v>1.2</v>
      </c>
      <c r="F59" s="236" t="s">
        <v>67</v>
      </c>
      <c r="G59" s="236" t="s">
        <v>88</v>
      </c>
      <c r="H59" s="446">
        <v>0.5</v>
      </c>
      <c r="I59" s="236" t="s">
        <v>67</v>
      </c>
      <c r="J59" s="183"/>
      <c r="M59" s="129"/>
      <c r="N59" s="129"/>
    </row>
    <row r="60" spans="3:19" ht="18.75" customHeight="1">
      <c r="C60" s="326"/>
      <c r="D60" s="236" t="s">
        <v>88</v>
      </c>
      <c r="E60" s="446">
        <v>0.5</v>
      </c>
      <c r="F60" s="236" t="s">
        <v>67</v>
      </c>
      <c r="G60" s="236" t="s">
        <v>86</v>
      </c>
      <c r="H60" s="446">
        <v>386</v>
      </c>
      <c r="I60" s="236" t="s">
        <v>67</v>
      </c>
      <c r="J60" s="183"/>
      <c r="M60" s="129"/>
      <c r="N60" s="129"/>
    </row>
    <row r="61" spans="3:19" ht="18.75" customHeight="1">
      <c r="C61" s="326"/>
      <c r="D61" s="236" t="s">
        <v>84</v>
      </c>
      <c r="E61" s="446">
        <v>66</v>
      </c>
      <c r="F61" s="236"/>
      <c r="G61" s="240" t="s">
        <v>0</v>
      </c>
      <c r="H61" s="239">
        <f>(0.5+0.5)*386</f>
        <v>386</v>
      </c>
      <c r="I61" s="240" t="s">
        <v>229</v>
      </c>
      <c r="J61" s="183"/>
      <c r="M61" s="129"/>
      <c r="N61" s="129"/>
    </row>
    <row r="62" spans="3:19" ht="18" customHeight="1">
      <c r="C62" s="326"/>
      <c r="D62" s="240" t="s">
        <v>0</v>
      </c>
      <c r="E62" s="239">
        <f>(0.6+0.6+1.2+1.2)*0.5*66</f>
        <v>118.79999999999998</v>
      </c>
      <c r="F62" s="240" t="s">
        <v>229</v>
      </c>
      <c r="G62" s="238"/>
      <c r="J62" s="183"/>
      <c r="M62" s="129"/>
      <c r="N62" s="129"/>
    </row>
    <row r="63" spans="3:19" ht="18" customHeight="1">
      <c r="C63" s="326"/>
      <c r="D63" s="194"/>
      <c r="E63" s="194"/>
      <c r="F63" s="194"/>
      <c r="G63" s="194"/>
      <c r="H63" s="194"/>
      <c r="I63" s="324"/>
      <c r="J63" s="183"/>
      <c r="M63" s="129"/>
      <c r="N63" s="129"/>
    </row>
    <row r="64" spans="3:19" ht="18" customHeight="1">
      <c r="C64" s="326"/>
      <c r="D64" s="583" t="s">
        <v>148</v>
      </c>
      <c r="E64" s="583"/>
      <c r="F64" s="449"/>
      <c r="G64" s="450" t="s">
        <v>147</v>
      </c>
      <c r="H64" s="451"/>
      <c r="I64" s="449"/>
      <c r="J64" s="183"/>
      <c r="M64" s="129"/>
      <c r="N64" s="129"/>
    </row>
    <row r="65" spans="3:19" ht="18" customHeight="1">
      <c r="C65" s="436"/>
      <c r="D65" s="598" t="s">
        <v>263</v>
      </c>
      <c r="E65" s="599"/>
      <c r="F65" s="449"/>
      <c r="G65" s="598" t="s">
        <v>264</v>
      </c>
      <c r="H65" s="603"/>
      <c r="I65" s="599"/>
      <c r="J65" s="183"/>
      <c r="M65" s="129"/>
      <c r="N65" s="129"/>
    </row>
    <row r="66" spans="3:19" ht="18" customHeight="1">
      <c r="C66" s="326"/>
      <c r="D66" s="449" t="s">
        <v>87</v>
      </c>
      <c r="E66" s="451">
        <v>0.2</v>
      </c>
      <c r="F66" s="449" t="s">
        <v>67</v>
      </c>
      <c r="G66" s="449" t="s">
        <v>87</v>
      </c>
      <c r="H66" s="452">
        <v>0.15</v>
      </c>
      <c r="I66" s="449" t="s">
        <v>67</v>
      </c>
      <c r="J66" s="183"/>
      <c r="M66" s="129"/>
      <c r="N66" s="129"/>
    </row>
    <row r="67" spans="3:19" ht="18.75" customHeight="1">
      <c r="C67" s="326"/>
      <c r="D67" s="449" t="s">
        <v>88</v>
      </c>
      <c r="E67" s="452">
        <v>0.3</v>
      </c>
      <c r="F67" s="449" t="s">
        <v>67</v>
      </c>
      <c r="G67" s="449" t="s">
        <v>86</v>
      </c>
      <c r="H67" s="452">
        <v>0.15</v>
      </c>
      <c r="I67" s="449" t="s">
        <v>67</v>
      </c>
      <c r="J67" s="183"/>
      <c r="M67" s="129"/>
      <c r="N67" s="129"/>
    </row>
    <row r="68" spans="3:19" ht="18.75" customHeight="1">
      <c r="C68" s="326"/>
      <c r="D68" s="449" t="s">
        <v>86</v>
      </c>
      <c r="E68" s="452">
        <v>300</v>
      </c>
      <c r="F68" s="449" t="s">
        <v>67</v>
      </c>
      <c r="G68" s="449" t="s">
        <v>88</v>
      </c>
      <c r="H68" s="452">
        <v>1.2</v>
      </c>
      <c r="I68" s="449" t="s">
        <v>67</v>
      </c>
      <c r="J68" s="183"/>
      <c r="M68" s="129"/>
      <c r="N68" s="129"/>
    </row>
    <row r="69" spans="3:19" ht="18" customHeight="1">
      <c r="C69" s="326"/>
      <c r="D69" s="453" t="s">
        <v>0</v>
      </c>
      <c r="E69" s="454">
        <f>(0.3+0.3)*300</f>
        <v>180</v>
      </c>
      <c r="F69" s="453" t="s">
        <v>229</v>
      </c>
      <c r="G69" s="449" t="s">
        <v>84</v>
      </c>
      <c r="H69" s="452">
        <v>98</v>
      </c>
      <c r="I69" s="455"/>
      <c r="J69" s="183"/>
      <c r="M69" s="129"/>
      <c r="N69" s="129"/>
    </row>
    <row r="70" spans="3:19" ht="21.75" customHeight="1">
      <c r="C70" s="326"/>
      <c r="D70" s="455"/>
      <c r="E70" s="455"/>
      <c r="F70" s="455"/>
      <c r="G70" s="449" t="s">
        <v>0</v>
      </c>
      <c r="H70" s="454">
        <f>(0.2+0.2)*1.2*98</f>
        <v>47.04</v>
      </c>
      <c r="I70" s="453" t="s">
        <v>229</v>
      </c>
      <c r="J70" s="183"/>
      <c r="M70" s="129"/>
      <c r="N70" s="129"/>
    </row>
    <row r="71" spans="3:19" ht="21.75" customHeight="1">
      <c r="C71" s="436"/>
      <c r="D71" s="583" t="s">
        <v>265</v>
      </c>
      <c r="E71" s="583"/>
      <c r="F71" s="449"/>
      <c r="G71" s="449"/>
      <c r="H71" s="451"/>
      <c r="I71" s="453"/>
      <c r="J71" s="183"/>
      <c r="M71" s="129"/>
      <c r="N71" s="129"/>
    </row>
    <row r="72" spans="3:19" ht="21.75" customHeight="1">
      <c r="C72" s="436"/>
      <c r="D72" s="598" t="s">
        <v>266</v>
      </c>
      <c r="E72" s="599"/>
      <c r="F72" s="449"/>
      <c r="G72" s="449"/>
      <c r="H72" s="451"/>
      <c r="I72" s="453"/>
      <c r="J72" s="183"/>
      <c r="M72" s="129"/>
      <c r="N72" s="129"/>
    </row>
    <row r="73" spans="3:19" ht="21.75" customHeight="1">
      <c r="C73" s="436"/>
      <c r="D73" s="449" t="s">
        <v>87</v>
      </c>
      <c r="E73" s="451">
        <v>0.2</v>
      </c>
      <c r="F73" s="449" t="s">
        <v>67</v>
      </c>
      <c r="G73" s="449"/>
      <c r="H73" s="451"/>
      <c r="I73" s="453"/>
      <c r="J73" s="183"/>
      <c r="M73" s="129"/>
      <c r="N73" s="129"/>
    </row>
    <row r="74" spans="3:19" ht="21.75" customHeight="1">
      <c r="C74" s="436"/>
      <c r="D74" s="449" t="s">
        <v>88</v>
      </c>
      <c r="E74" s="451">
        <v>0.2</v>
      </c>
      <c r="F74" s="449" t="s">
        <v>67</v>
      </c>
      <c r="G74" s="449"/>
      <c r="H74" s="451"/>
      <c r="I74" s="453"/>
      <c r="J74" s="183"/>
      <c r="M74" s="129"/>
      <c r="N74" s="129"/>
    </row>
    <row r="75" spans="3:19" ht="21.75" customHeight="1">
      <c r="C75" s="436"/>
      <c r="D75" s="449" t="s">
        <v>86</v>
      </c>
      <c r="E75" s="451">
        <v>300</v>
      </c>
      <c r="F75" s="449" t="s">
        <v>67</v>
      </c>
      <c r="G75" s="449"/>
      <c r="H75" s="451"/>
      <c r="I75" s="453"/>
      <c r="J75" s="183"/>
      <c r="M75" s="129"/>
      <c r="N75" s="129"/>
    </row>
    <row r="76" spans="3:19" ht="15.75" customHeight="1">
      <c r="C76" s="436"/>
      <c r="D76" s="453" t="s">
        <v>0</v>
      </c>
      <c r="E76" s="454">
        <f>(0.2+0.2)*300</f>
        <v>120</v>
      </c>
      <c r="F76" s="453" t="s">
        <v>229</v>
      </c>
      <c r="G76" s="456"/>
      <c r="H76" s="457"/>
      <c r="I76" s="456"/>
      <c r="J76" s="183"/>
      <c r="M76" s="129"/>
      <c r="N76" s="129"/>
    </row>
    <row r="77" spans="3:19" ht="15.75" customHeight="1">
      <c r="C77" s="199"/>
      <c r="D77" s="447"/>
      <c r="E77" s="448"/>
      <c r="F77" s="447"/>
      <c r="G77" s="438"/>
      <c r="H77" s="400"/>
      <c r="I77" s="438"/>
      <c r="J77" s="186"/>
      <c r="M77" s="129"/>
      <c r="N77" s="129"/>
    </row>
    <row r="78" spans="3:19" ht="33.75" customHeight="1">
      <c r="C78" s="176" t="s">
        <v>170</v>
      </c>
      <c r="D78" s="534" t="str">
        <f>VLOOKUP($C78,Orçamento!D:P,4,0)</f>
        <v>Escavacao manual de vala em material de 1A categoria ate 1,5m excluindo esgotamento / escoramento</v>
      </c>
      <c r="E78" s="534"/>
      <c r="F78" s="534"/>
      <c r="G78" s="534"/>
      <c r="H78" s="534"/>
      <c r="I78" s="176" t="s">
        <v>258</v>
      </c>
      <c r="J78" s="145">
        <f>F82</f>
        <v>114.16</v>
      </c>
    </row>
    <row r="79" spans="3:19" ht="14.25" customHeight="1">
      <c r="C79" s="259"/>
      <c r="D79" s="256"/>
      <c r="E79" s="256"/>
      <c r="F79" s="256"/>
      <c r="G79" s="256"/>
      <c r="H79" s="256"/>
      <c r="I79" s="260"/>
      <c r="J79" s="228"/>
      <c r="M79" s="129"/>
      <c r="N79" s="129"/>
      <c r="O79" s="129"/>
      <c r="P79" s="129"/>
      <c r="Q79" s="129"/>
      <c r="R79" s="129"/>
      <c r="S79" s="129"/>
    </row>
    <row r="80" spans="3:19" ht="22.5" customHeight="1">
      <c r="C80" s="261"/>
      <c r="D80" s="302"/>
      <c r="E80" s="380" t="s">
        <v>144</v>
      </c>
      <c r="F80" s="381">
        <f>1.4*0.8*0.5*66</f>
        <v>36.959999999999994</v>
      </c>
      <c r="G80" s="382" t="s">
        <v>66</v>
      </c>
      <c r="H80" s="257"/>
      <c r="I80" s="182"/>
      <c r="J80" s="229"/>
      <c r="M80" s="129"/>
      <c r="N80" s="129"/>
      <c r="O80" s="129"/>
      <c r="P80" s="129"/>
      <c r="Q80" s="129"/>
      <c r="R80" s="129"/>
      <c r="S80" s="129"/>
    </row>
    <row r="81" spans="3:19" ht="22.5" customHeight="1">
      <c r="C81" s="261"/>
      <c r="D81" s="302"/>
      <c r="E81" s="380" t="s">
        <v>143</v>
      </c>
      <c r="F81" s="381">
        <f>0.4*0.5*386</f>
        <v>77.2</v>
      </c>
      <c r="G81" s="382" t="s">
        <v>66</v>
      </c>
      <c r="H81" s="257"/>
      <c r="I81" s="182"/>
      <c r="J81" s="229"/>
      <c r="M81" s="129"/>
      <c r="N81" s="129"/>
      <c r="O81" s="129"/>
      <c r="P81" s="129"/>
      <c r="Q81" s="129"/>
      <c r="R81" s="129"/>
      <c r="S81" s="129"/>
    </row>
    <row r="82" spans="3:19" ht="18" customHeight="1">
      <c r="C82" s="261"/>
      <c r="D82" s="302"/>
      <c r="E82" s="380" t="s">
        <v>0</v>
      </c>
      <c r="F82" s="383">
        <f>F80+F81</f>
        <v>114.16</v>
      </c>
      <c r="G82" s="382" t="s">
        <v>66</v>
      </c>
      <c r="H82" s="257"/>
      <c r="I82" s="182"/>
      <c r="J82" s="229"/>
      <c r="M82" s="129"/>
      <c r="N82" s="129"/>
      <c r="O82" s="129"/>
      <c r="P82" s="129"/>
      <c r="Q82" s="129"/>
      <c r="R82" s="129"/>
      <c r="S82" s="129"/>
    </row>
    <row r="83" spans="3:19" ht="14.25" customHeight="1">
      <c r="C83" s="261"/>
      <c r="D83" s="257"/>
      <c r="E83" s="262"/>
      <c r="F83" s="257"/>
      <c r="G83" s="257"/>
      <c r="H83" s="257"/>
      <c r="I83" s="182"/>
      <c r="J83" s="229"/>
      <c r="M83" s="129"/>
      <c r="N83" s="129"/>
      <c r="O83" s="129"/>
      <c r="P83" s="129"/>
      <c r="Q83" s="129"/>
      <c r="R83" s="129"/>
      <c r="S83" s="129"/>
    </row>
    <row r="84" spans="3:19" ht="32.25" customHeight="1">
      <c r="C84" s="176" t="s">
        <v>171</v>
      </c>
      <c r="D84" s="534" t="str">
        <f>VLOOKUP($C84,Orçamento!D:P,4,0)</f>
        <v>Regularização e compactação de fundo de vala</v>
      </c>
      <c r="E84" s="534"/>
      <c r="F84" s="534"/>
      <c r="G84" s="534"/>
      <c r="H84" s="534"/>
      <c r="I84" s="176" t="s">
        <v>229</v>
      </c>
      <c r="J84" s="145">
        <f>F88</f>
        <v>228.32</v>
      </c>
    </row>
    <row r="85" spans="3:19" ht="11.25" customHeight="1">
      <c r="C85" s="259"/>
      <c r="D85" s="256"/>
      <c r="E85" s="256"/>
      <c r="F85" s="256"/>
      <c r="G85" s="256"/>
      <c r="H85" s="256"/>
      <c r="I85" s="260"/>
      <c r="J85" s="228"/>
      <c r="M85" s="129"/>
      <c r="N85" s="129"/>
      <c r="O85" s="129"/>
      <c r="P85" s="129"/>
      <c r="Q85" s="129"/>
      <c r="R85" s="129"/>
      <c r="S85" s="129"/>
    </row>
    <row r="86" spans="3:19" ht="24" customHeight="1">
      <c r="C86" s="261"/>
      <c r="D86" s="302"/>
      <c r="E86" s="384" t="s">
        <v>144</v>
      </c>
      <c r="F86" s="381">
        <f>1.4*0.8*66</f>
        <v>73.919999999999987</v>
      </c>
      <c r="G86" s="382"/>
      <c r="H86" s="257"/>
      <c r="I86" s="182"/>
      <c r="J86" s="229"/>
      <c r="M86" s="129"/>
      <c r="N86" s="129"/>
      <c r="O86" s="129"/>
      <c r="P86" s="129"/>
      <c r="Q86" s="129"/>
      <c r="R86" s="129"/>
      <c r="S86" s="129"/>
    </row>
    <row r="87" spans="3:19" ht="22.5" customHeight="1">
      <c r="C87" s="261"/>
      <c r="D87" s="302"/>
      <c r="E87" s="384" t="s">
        <v>267</v>
      </c>
      <c r="F87" s="381">
        <f>0.4*1*386</f>
        <v>154.4</v>
      </c>
      <c r="G87" s="382"/>
      <c r="H87" s="257"/>
      <c r="I87" s="182"/>
      <c r="J87" s="229"/>
      <c r="M87" s="129"/>
      <c r="N87" s="129"/>
      <c r="O87" s="129"/>
      <c r="P87" s="129"/>
      <c r="Q87" s="129"/>
      <c r="R87" s="129"/>
      <c r="S87" s="129"/>
    </row>
    <row r="88" spans="3:19" ht="18" customHeight="1">
      <c r="C88" s="261"/>
      <c r="D88" s="302"/>
      <c r="E88" s="384" t="s">
        <v>0</v>
      </c>
      <c r="F88" s="383">
        <f>SUM(F86:F87)</f>
        <v>228.32</v>
      </c>
      <c r="G88" s="382" t="s">
        <v>229</v>
      </c>
      <c r="H88" s="257"/>
      <c r="I88" s="182"/>
      <c r="J88" s="229"/>
      <c r="M88" s="129"/>
      <c r="N88" s="129"/>
      <c r="O88" s="129"/>
      <c r="P88" s="129"/>
      <c r="Q88" s="129"/>
      <c r="R88" s="129"/>
      <c r="S88" s="129"/>
    </row>
    <row r="89" spans="3:19" ht="11.25" customHeight="1">
      <c r="C89" s="261"/>
      <c r="D89" s="257"/>
      <c r="E89" s="262"/>
      <c r="F89" s="257"/>
      <c r="G89" s="257"/>
      <c r="H89" s="257"/>
      <c r="I89" s="182"/>
      <c r="J89" s="229"/>
      <c r="M89" s="129"/>
      <c r="N89" s="129"/>
      <c r="O89" s="129"/>
      <c r="P89" s="129"/>
      <c r="Q89" s="129"/>
      <c r="R89" s="129"/>
      <c r="S89" s="129"/>
    </row>
    <row r="90" spans="3:19" ht="32.25" customHeight="1">
      <c r="C90" s="177" t="s">
        <v>172</v>
      </c>
      <c r="D90" s="565" t="str">
        <f>VLOOKUP($C90,Orçamento!D:P,4,0)</f>
        <v>Reaterro manual e compactado</v>
      </c>
      <c r="E90" s="565"/>
      <c r="F90" s="565"/>
      <c r="G90" s="565"/>
      <c r="H90" s="565"/>
      <c r="I90" s="176" t="s">
        <v>258</v>
      </c>
      <c r="J90" s="151">
        <f>F93+I92</f>
        <v>51.800000000000004</v>
      </c>
    </row>
    <row r="91" spans="3:19" ht="11.25" customHeight="1">
      <c r="C91" s="259"/>
      <c r="D91" s="256"/>
      <c r="E91" s="256"/>
      <c r="F91" s="256"/>
      <c r="G91" s="256"/>
      <c r="H91" s="256"/>
      <c r="I91" s="260"/>
      <c r="J91" s="228"/>
      <c r="M91" s="129"/>
      <c r="N91" s="129"/>
      <c r="O91" s="129"/>
      <c r="P91" s="129"/>
      <c r="Q91" s="129"/>
      <c r="R91" s="129"/>
      <c r="S91" s="129"/>
    </row>
    <row r="92" spans="3:19" ht="24" customHeight="1">
      <c r="C92" s="261"/>
      <c r="D92" s="302"/>
      <c r="E92" s="384" t="s">
        <v>144</v>
      </c>
      <c r="F92" s="604">
        <f>(0.1*0.8*2)*0.5+(0.1*1.2*2)*0.5</f>
        <v>0.2</v>
      </c>
      <c r="G92" s="604"/>
      <c r="H92" s="127" t="s">
        <v>268</v>
      </c>
      <c r="I92" s="108">
        <f>F92*66</f>
        <v>13.200000000000001</v>
      </c>
      <c r="J92" s="229"/>
      <c r="M92" s="129"/>
      <c r="N92" s="129"/>
      <c r="O92" s="129"/>
      <c r="P92" s="129"/>
      <c r="Q92" s="129"/>
      <c r="R92" s="129"/>
      <c r="S92" s="129"/>
    </row>
    <row r="93" spans="3:19" ht="22.5" customHeight="1">
      <c r="C93" s="261"/>
      <c r="D93" s="302"/>
      <c r="E93" s="384" t="s">
        <v>269</v>
      </c>
      <c r="F93" s="458">
        <f>0.1*0.5*386*2</f>
        <v>38.6</v>
      </c>
      <c r="G93" s="382"/>
      <c r="H93" s="257"/>
      <c r="I93" s="182"/>
      <c r="J93" s="229"/>
      <c r="M93" s="129"/>
      <c r="N93" s="129"/>
      <c r="O93" s="129"/>
      <c r="P93" s="129"/>
      <c r="Q93" s="129"/>
      <c r="R93" s="129"/>
      <c r="S93" s="129"/>
    </row>
    <row r="94" spans="3:19" ht="22.5" customHeight="1">
      <c r="C94" s="261"/>
      <c r="D94" s="302"/>
      <c r="E94" s="384"/>
      <c r="F94" s="381"/>
      <c r="G94" s="382"/>
      <c r="H94" s="257"/>
      <c r="I94" s="182"/>
      <c r="J94" s="229"/>
      <c r="M94" s="129"/>
      <c r="N94" s="129"/>
      <c r="O94" s="129"/>
      <c r="P94" s="129"/>
      <c r="Q94" s="129"/>
      <c r="R94" s="129"/>
      <c r="S94" s="129"/>
    </row>
    <row r="95" spans="3:19" ht="11.25" customHeight="1" thickBot="1">
      <c r="C95" s="261"/>
      <c r="D95" s="257"/>
      <c r="E95" s="262"/>
      <c r="F95" s="257"/>
      <c r="G95" s="257"/>
      <c r="H95" s="257"/>
      <c r="I95" s="182"/>
      <c r="J95" s="229"/>
      <c r="M95" s="129"/>
      <c r="N95" s="129"/>
      <c r="O95" s="129"/>
      <c r="P95" s="129"/>
      <c r="Q95" s="129"/>
      <c r="R95" s="129"/>
      <c r="S95" s="129"/>
    </row>
    <row r="96" spans="3:19" s="140" customFormat="1" ht="24.95" customHeight="1" thickBot="1">
      <c r="C96" s="335">
        <v>3</v>
      </c>
      <c r="D96" s="535" t="str">
        <f>VLOOKUP($C96,Orçamento!D:P,4,0)</f>
        <v>MURO DE CONTENÇÃO</v>
      </c>
      <c r="E96" s="535"/>
      <c r="F96" s="535"/>
      <c r="G96" s="535"/>
      <c r="H96" s="535"/>
      <c r="I96" s="203"/>
      <c r="J96" s="271"/>
      <c r="K96" s="141"/>
      <c r="M96" s="142"/>
      <c r="N96" s="142"/>
      <c r="O96" s="142"/>
      <c r="P96" s="142"/>
      <c r="Q96" s="142"/>
    </row>
    <row r="97" spans="3:19" s="140" customFormat="1" ht="34.5" customHeight="1">
      <c r="C97" s="181" t="s">
        <v>78</v>
      </c>
      <c r="D97" s="536" t="str">
        <f>VLOOKUP($C97,Orçamento!D:P,4,0)</f>
        <v xml:space="preserve">Mobilização e desmobilização de equipamento - Estaca broca perfurada a trado mecanizado </v>
      </c>
      <c r="E97" s="536"/>
      <c r="F97" s="536"/>
      <c r="G97" s="536"/>
      <c r="H97" s="536"/>
      <c r="I97" s="181" t="s">
        <v>270</v>
      </c>
      <c r="J97" s="143">
        <v>1</v>
      </c>
      <c r="K97" s="141"/>
    </row>
    <row r="98" spans="3:19" s="140" customFormat="1" ht="34.5" customHeight="1">
      <c r="C98" s="176" t="s">
        <v>79</v>
      </c>
      <c r="D98" s="534" t="str">
        <f>VLOOKUP($C98,Orçamento!D:P,4,0)</f>
        <v>Estaca broca perfurada a trado mecanizado perfuração D=30cm</v>
      </c>
      <c r="E98" s="534"/>
      <c r="F98" s="534"/>
      <c r="G98" s="534"/>
      <c r="H98" s="534"/>
      <c r="I98" s="176" t="s">
        <v>67</v>
      </c>
      <c r="J98" s="145">
        <f>F102</f>
        <v>196</v>
      </c>
      <c r="K98" s="141"/>
    </row>
    <row r="99" spans="3:19" ht="14.25" customHeight="1">
      <c r="C99" s="259"/>
      <c r="D99" s="256"/>
      <c r="E99" s="256"/>
      <c r="F99" s="256"/>
      <c r="G99" s="256"/>
      <c r="H99" s="256"/>
      <c r="I99" s="260"/>
      <c r="J99" s="228"/>
      <c r="M99" s="129"/>
      <c r="N99" s="129"/>
      <c r="O99" s="129"/>
      <c r="P99" s="129"/>
      <c r="Q99" s="129"/>
      <c r="R99" s="129"/>
      <c r="S99" s="129"/>
    </row>
    <row r="100" spans="3:19" ht="24" customHeight="1">
      <c r="C100" s="261"/>
      <c r="D100" s="302"/>
      <c r="E100" s="380" t="s">
        <v>86</v>
      </c>
      <c r="F100" s="381">
        <v>2</v>
      </c>
      <c r="G100" s="382" t="s">
        <v>67</v>
      </c>
      <c r="H100" s="257"/>
      <c r="I100" s="182"/>
      <c r="J100" s="229"/>
      <c r="M100" s="129"/>
      <c r="N100" s="129"/>
      <c r="O100" s="129"/>
      <c r="P100" s="129"/>
      <c r="Q100" s="129"/>
      <c r="R100" s="129"/>
      <c r="S100" s="129"/>
    </row>
    <row r="101" spans="3:19" ht="22.5" customHeight="1">
      <c r="C101" s="261"/>
      <c r="D101" s="302"/>
      <c r="E101" s="380" t="s">
        <v>84</v>
      </c>
      <c r="F101" s="381">
        <v>98</v>
      </c>
      <c r="G101" s="384"/>
      <c r="H101" s="257"/>
      <c r="I101" s="182"/>
      <c r="J101" s="229"/>
      <c r="M101" s="129"/>
      <c r="N101" s="129"/>
      <c r="O101" s="129"/>
      <c r="P101" s="129"/>
      <c r="Q101" s="129"/>
      <c r="R101" s="129"/>
      <c r="S101" s="129"/>
    </row>
    <row r="102" spans="3:19" ht="18" customHeight="1">
      <c r="C102" s="261"/>
      <c r="D102" s="302"/>
      <c r="E102" s="380" t="s">
        <v>0</v>
      </c>
      <c r="F102" s="383">
        <f>F100*F101</f>
        <v>196</v>
      </c>
      <c r="G102" s="382" t="s">
        <v>67</v>
      </c>
      <c r="H102" s="257"/>
      <c r="I102" s="182"/>
      <c r="J102" s="229"/>
      <c r="M102" s="129"/>
      <c r="N102" s="129"/>
      <c r="O102" s="129"/>
      <c r="P102" s="129"/>
      <c r="Q102" s="129"/>
      <c r="R102" s="129"/>
      <c r="S102" s="129"/>
    </row>
    <row r="103" spans="3:19" ht="14.25" customHeight="1">
      <c r="C103" s="261"/>
      <c r="D103" s="257"/>
      <c r="E103" s="262"/>
      <c r="F103" s="257"/>
      <c r="G103" s="257"/>
      <c r="H103" s="257"/>
      <c r="I103" s="182"/>
      <c r="J103" s="229"/>
      <c r="M103" s="129"/>
      <c r="N103" s="129"/>
      <c r="O103" s="129"/>
      <c r="P103" s="129"/>
      <c r="Q103" s="129"/>
      <c r="R103" s="129"/>
      <c r="S103" s="129"/>
    </row>
    <row r="104" spans="3:19" s="140" customFormat="1" ht="36" customHeight="1">
      <c r="C104" s="176" t="s">
        <v>238</v>
      </c>
      <c r="D104" s="534" t="str">
        <f>VLOOKUP($C104,Orçamento!D:P,4,0)</f>
        <v>Concreto usinado lançado em fundação FCK&gt;=20 Mpa</v>
      </c>
      <c r="E104" s="534"/>
      <c r="F104" s="534"/>
      <c r="G104" s="534"/>
      <c r="H104" s="534"/>
      <c r="I104" s="176" t="s">
        <v>258</v>
      </c>
      <c r="J104" s="145">
        <f>E108</f>
        <v>6.1544000000000008</v>
      </c>
      <c r="K104" s="141"/>
    </row>
    <row r="105" spans="3:19" ht="14.25" customHeight="1">
      <c r="C105" s="259"/>
      <c r="D105" s="256"/>
      <c r="E105" s="256"/>
      <c r="F105" s="256"/>
      <c r="G105" s="256"/>
      <c r="H105" s="256"/>
      <c r="I105" s="260"/>
      <c r="J105" s="228"/>
      <c r="M105" s="129"/>
      <c r="N105" s="129"/>
      <c r="O105" s="129"/>
      <c r="P105" s="129"/>
      <c r="Q105" s="129"/>
      <c r="R105" s="129"/>
      <c r="S105" s="129"/>
    </row>
    <row r="106" spans="3:19" ht="24" customHeight="1">
      <c r="C106" s="261"/>
      <c r="D106" s="380" t="s">
        <v>86</v>
      </c>
      <c r="E106" s="387">
        <f>J98</f>
        <v>196</v>
      </c>
      <c r="F106" s="382" t="s">
        <v>67</v>
      </c>
      <c r="H106" s="257"/>
      <c r="I106" s="182"/>
      <c r="J106" s="229"/>
      <c r="M106" s="129"/>
      <c r="N106" s="129"/>
      <c r="O106" s="129"/>
      <c r="P106" s="129"/>
      <c r="Q106" s="129"/>
      <c r="R106" s="129"/>
      <c r="S106" s="129"/>
    </row>
    <row r="107" spans="3:19" ht="22.5" customHeight="1">
      <c r="C107" s="261"/>
      <c r="D107" s="380" t="s">
        <v>85</v>
      </c>
      <c r="E107" s="387">
        <f>0.1*0.1*3.14</f>
        <v>3.1400000000000004E-2</v>
      </c>
      <c r="F107" s="382" t="s">
        <v>64</v>
      </c>
      <c r="H107" s="257"/>
      <c r="I107" s="182"/>
      <c r="J107" s="229"/>
      <c r="M107" s="129"/>
      <c r="N107" s="129"/>
      <c r="O107" s="129"/>
      <c r="P107" s="129"/>
      <c r="Q107" s="129"/>
      <c r="R107" s="129"/>
      <c r="S107" s="129"/>
    </row>
    <row r="108" spans="3:19" ht="18" customHeight="1">
      <c r="C108" s="261"/>
      <c r="D108" s="380" t="s">
        <v>0</v>
      </c>
      <c r="E108" s="388">
        <f>E106*E107</f>
        <v>6.1544000000000008</v>
      </c>
      <c r="F108" s="382" t="s">
        <v>66</v>
      </c>
      <c r="H108" s="257"/>
      <c r="I108" s="182"/>
      <c r="J108" s="229"/>
      <c r="M108" s="129"/>
      <c r="N108" s="129"/>
      <c r="O108" s="129"/>
      <c r="P108" s="129"/>
      <c r="Q108" s="129"/>
      <c r="R108" s="129"/>
      <c r="S108" s="129"/>
    </row>
    <row r="109" spans="3:19" ht="14.25" customHeight="1">
      <c r="C109" s="261"/>
      <c r="D109" s="257"/>
      <c r="E109" s="262"/>
      <c r="F109" s="257"/>
      <c r="G109" s="257"/>
      <c r="H109" s="257"/>
      <c r="I109" s="182"/>
      <c r="J109" s="229"/>
      <c r="M109" s="129"/>
      <c r="N109" s="129"/>
      <c r="O109" s="129"/>
      <c r="P109" s="129"/>
      <c r="Q109" s="129"/>
      <c r="R109" s="129"/>
      <c r="S109" s="129"/>
    </row>
    <row r="110" spans="3:19" s="140" customFormat="1" ht="34.5" customHeight="1">
      <c r="C110" s="176" t="s">
        <v>80</v>
      </c>
      <c r="D110" s="534" t="str">
        <f>VLOOKUP($C110,Orçamento!D:P,4,0)</f>
        <v>Armacao (fornecimento, corte, dobra e colocação) aço CA-50, Diam. 6,3 (1/4) à 12,5mm(1/2)</v>
      </c>
      <c r="E110" s="534"/>
      <c r="F110" s="534"/>
      <c r="G110" s="534"/>
      <c r="H110" s="534"/>
      <c r="I110" s="176" t="s">
        <v>106</v>
      </c>
      <c r="J110" s="145">
        <f>E116+H116+E122+H122</f>
        <v>1251.76</v>
      </c>
      <c r="K110" s="141"/>
    </row>
    <row r="111" spans="3:19" s="140" customFormat="1" ht="34.5" customHeight="1">
      <c r="C111" s="198"/>
      <c r="D111" s="605" t="s">
        <v>271</v>
      </c>
      <c r="E111" s="605"/>
      <c r="F111" s="440"/>
      <c r="G111" s="605" t="s">
        <v>272</v>
      </c>
      <c r="H111" s="605"/>
      <c r="I111" s="440"/>
      <c r="J111" s="184"/>
      <c r="K111" s="141"/>
    </row>
    <row r="112" spans="3:19" ht="14.25" customHeight="1">
      <c r="C112" s="261"/>
      <c r="D112" s="380" t="s">
        <v>137</v>
      </c>
      <c r="E112" s="381">
        <v>98</v>
      </c>
      <c r="F112" s="382"/>
      <c r="G112" s="380" t="s">
        <v>273</v>
      </c>
      <c r="H112" s="381">
        <v>300</v>
      </c>
      <c r="I112" s="382" t="s">
        <v>67</v>
      </c>
      <c r="J112" s="229"/>
      <c r="M112" s="129"/>
      <c r="N112" s="129"/>
      <c r="O112" s="129"/>
      <c r="P112" s="129"/>
      <c r="Q112" s="129"/>
      <c r="R112" s="129"/>
      <c r="S112" s="129"/>
    </row>
    <row r="113" spans="3:19" ht="14.25" customHeight="1">
      <c r="C113" s="261"/>
      <c r="D113" s="380" t="s">
        <v>88</v>
      </c>
      <c r="E113" s="381">
        <v>1</v>
      </c>
      <c r="F113" s="382" t="s">
        <v>67</v>
      </c>
      <c r="G113" s="380"/>
      <c r="H113" s="381"/>
      <c r="I113" s="382"/>
      <c r="J113" s="229"/>
      <c r="M113" s="129"/>
      <c r="N113" s="129"/>
      <c r="O113" s="129"/>
      <c r="P113" s="129"/>
      <c r="Q113" s="129"/>
      <c r="R113" s="129"/>
      <c r="S113" s="129"/>
    </row>
    <row r="114" spans="3:19" ht="14.25" customHeight="1">
      <c r="C114" s="261"/>
      <c r="D114" s="380" t="s">
        <v>84</v>
      </c>
      <c r="E114" s="381">
        <v>1</v>
      </c>
      <c r="F114" s="382"/>
      <c r="G114" s="380" t="s">
        <v>84</v>
      </c>
      <c r="H114" s="381">
        <v>4</v>
      </c>
      <c r="I114" s="382"/>
      <c r="J114" s="229"/>
      <c r="M114" s="129"/>
      <c r="N114" s="129"/>
      <c r="O114" s="129"/>
      <c r="P114" s="129"/>
      <c r="Q114" s="129"/>
      <c r="R114" s="129"/>
      <c r="S114" s="129"/>
    </row>
    <row r="115" spans="3:19" ht="24" customHeight="1">
      <c r="C115" s="261"/>
      <c r="D115" s="380" t="s">
        <v>259</v>
      </c>
      <c r="E115" s="381">
        <v>0.62</v>
      </c>
      <c r="F115" s="384" t="s">
        <v>89</v>
      </c>
      <c r="G115" s="380" t="s">
        <v>259</v>
      </c>
      <c r="H115" s="381">
        <v>0.62</v>
      </c>
      <c r="I115" s="384" t="s">
        <v>89</v>
      </c>
      <c r="J115" s="229"/>
      <c r="M115" s="129"/>
      <c r="N115" s="129"/>
      <c r="O115" s="129"/>
      <c r="P115" s="129"/>
      <c r="Q115" s="129"/>
      <c r="R115" s="129"/>
      <c r="S115" s="129"/>
    </row>
    <row r="116" spans="3:19" ht="22.5" customHeight="1">
      <c r="C116" s="261"/>
      <c r="D116" s="380" t="s">
        <v>0</v>
      </c>
      <c r="E116" s="458">
        <f>E112*E113*E114*E115</f>
        <v>60.76</v>
      </c>
      <c r="F116" s="382" t="s">
        <v>73</v>
      </c>
      <c r="G116" s="380" t="s">
        <v>0</v>
      </c>
      <c r="H116" s="458">
        <f>H112*H114*H115</f>
        <v>744</v>
      </c>
      <c r="I116" s="382" t="s">
        <v>73</v>
      </c>
      <c r="J116" s="229"/>
      <c r="M116" s="129"/>
      <c r="N116" s="129"/>
      <c r="O116" s="129"/>
      <c r="P116" s="129"/>
      <c r="Q116" s="129"/>
      <c r="R116" s="129"/>
      <c r="S116" s="129"/>
    </row>
    <row r="117" spans="3:19" ht="22.5" customHeight="1">
      <c r="C117" s="261"/>
      <c r="D117" s="573" t="s">
        <v>274</v>
      </c>
      <c r="E117" s="573"/>
      <c r="F117" s="194"/>
      <c r="G117" s="573" t="s">
        <v>277</v>
      </c>
      <c r="H117" s="573"/>
      <c r="I117" s="194"/>
      <c r="J117" s="229"/>
      <c r="M117" s="129"/>
      <c r="N117" s="129"/>
      <c r="O117" s="129"/>
      <c r="P117" s="129"/>
      <c r="Q117" s="129"/>
      <c r="R117" s="129"/>
      <c r="S117" s="129"/>
    </row>
    <row r="118" spans="3:19" ht="22.5" customHeight="1">
      <c r="C118" s="261"/>
      <c r="D118" s="380" t="s">
        <v>278</v>
      </c>
      <c r="E118" s="381">
        <v>300</v>
      </c>
      <c r="F118" s="382" t="s">
        <v>67</v>
      </c>
      <c r="G118" s="380" t="s">
        <v>279</v>
      </c>
      <c r="H118" s="381">
        <v>98</v>
      </c>
      <c r="I118" s="382"/>
      <c r="J118" s="229"/>
      <c r="M118" s="129"/>
      <c r="N118" s="129"/>
      <c r="O118" s="129"/>
      <c r="P118" s="129"/>
      <c r="Q118" s="129"/>
      <c r="R118" s="129"/>
      <c r="S118" s="129"/>
    </row>
    <row r="119" spans="3:19" ht="22.5" customHeight="1">
      <c r="C119" s="261"/>
      <c r="D119" s="380"/>
      <c r="E119" s="381"/>
      <c r="F119" s="382"/>
      <c r="G119" s="380" t="s">
        <v>275</v>
      </c>
      <c r="H119" s="381">
        <v>1.5</v>
      </c>
      <c r="I119" s="382" t="s">
        <v>67</v>
      </c>
      <c r="J119" s="229"/>
      <c r="M119" s="129"/>
      <c r="N119" s="129"/>
      <c r="O119" s="129"/>
      <c r="P119" s="129"/>
      <c r="Q119" s="129"/>
      <c r="R119" s="129"/>
      <c r="S119" s="129"/>
    </row>
    <row r="120" spans="3:19" ht="22.5" customHeight="1">
      <c r="C120" s="261"/>
      <c r="D120" s="380" t="s">
        <v>84</v>
      </c>
      <c r="E120" s="381">
        <v>4</v>
      </c>
      <c r="F120" s="382"/>
      <c r="G120" s="380" t="s">
        <v>84</v>
      </c>
      <c r="H120" s="381">
        <v>4</v>
      </c>
      <c r="I120" s="382"/>
      <c r="J120" s="229"/>
      <c r="M120" s="129"/>
      <c r="N120" s="129"/>
      <c r="O120" s="129"/>
      <c r="P120" s="129"/>
      <c r="Q120" s="129"/>
      <c r="R120" s="129"/>
      <c r="S120" s="129"/>
    </row>
    <row r="121" spans="3:19" ht="22.5" customHeight="1">
      <c r="C121" s="261"/>
      <c r="D121" s="380" t="s">
        <v>276</v>
      </c>
      <c r="E121" s="381">
        <v>0.25</v>
      </c>
      <c r="F121" s="384" t="s">
        <v>89</v>
      </c>
      <c r="G121" s="380" t="s">
        <v>276</v>
      </c>
      <c r="H121" s="381">
        <v>0.25</v>
      </c>
      <c r="I121" s="384" t="s">
        <v>89</v>
      </c>
      <c r="J121" s="229"/>
      <c r="M121" s="129"/>
      <c r="N121" s="129"/>
      <c r="O121" s="129"/>
      <c r="P121" s="129"/>
      <c r="Q121" s="129"/>
      <c r="R121" s="129"/>
      <c r="S121" s="129"/>
    </row>
    <row r="122" spans="3:19" ht="22.5" customHeight="1">
      <c r="C122" s="261"/>
      <c r="D122" s="380" t="s">
        <v>0</v>
      </c>
      <c r="E122" s="458">
        <f>E118*E120*E121</f>
        <v>300</v>
      </c>
      <c r="F122" s="382" t="s">
        <v>73</v>
      </c>
      <c r="G122" s="380" t="s">
        <v>0</v>
      </c>
      <c r="H122" s="458">
        <f>H118*H119*H120*H121</f>
        <v>147</v>
      </c>
      <c r="I122" s="382" t="s">
        <v>73</v>
      </c>
      <c r="J122" s="229"/>
      <c r="M122" s="129"/>
      <c r="N122" s="129"/>
      <c r="O122" s="129"/>
      <c r="P122" s="129"/>
      <c r="Q122" s="129"/>
      <c r="R122" s="129"/>
      <c r="S122" s="129"/>
    </row>
    <row r="123" spans="3:19" ht="18" customHeight="1">
      <c r="C123" s="261"/>
      <c r="D123" s="380"/>
      <c r="E123" s="387"/>
      <c r="F123" s="382"/>
      <c r="H123" s="257"/>
      <c r="I123" s="182"/>
      <c r="J123" s="229"/>
      <c r="M123" s="129"/>
      <c r="N123" s="129"/>
      <c r="O123" s="129"/>
      <c r="P123" s="129"/>
      <c r="Q123" s="129"/>
      <c r="R123" s="129"/>
      <c r="S123" s="129"/>
    </row>
    <row r="124" spans="3:19" ht="14.25" customHeight="1">
      <c r="C124" s="261"/>
      <c r="D124" s="257"/>
      <c r="E124" s="262"/>
      <c r="F124" s="257"/>
      <c r="G124" s="257"/>
      <c r="H124" s="257"/>
      <c r="I124" s="182"/>
      <c r="J124" s="229"/>
      <c r="M124" s="129"/>
      <c r="N124" s="129"/>
      <c r="O124" s="129"/>
      <c r="P124" s="129"/>
      <c r="Q124" s="129"/>
      <c r="R124" s="129"/>
      <c r="S124" s="129"/>
    </row>
    <row r="125" spans="3:19" s="140" customFormat="1" ht="36" customHeight="1">
      <c r="C125" s="176" t="s">
        <v>81</v>
      </c>
      <c r="D125" s="534" t="str">
        <f>VLOOKUP($C125,Orçamento!D:P,4,0)</f>
        <v>Armacao de aco ca-60 Diam. D3,4 a 6,0mm,- Fornecimento / Corte /(c/perda de 10%) / Dobra / Colocação.</v>
      </c>
      <c r="E125" s="534"/>
      <c r="F125" s="534"/>
      <c r="G125" s="534"/>
      <c r="H125" s="534"/>
      <c r="I125" s="176" t="s">
        <v>106</v>
      </c>
      <c r="J125" s="145">
        <f>H132+H138+E138</f>
        <v>435.42</v>
      </c>
      <c r="K125" s="141"/>
    </row>
    <row r="126" spans="3:19" ht="14.25" customHeight="1">
      <c r="C126" s="259"/>
      <c r="D126" s="256"/>
      <c r="E126" s="256"/>
      <c r="F126" s="256"/>
      <c r="G126" s="256"/>
      <c r="H126" s="256"/>
      <c r="I126" s="260"/>
      <c r="J126" s="228"/>
      <c r="M126" s="129"/>
      <c r="N126" s="129"/>
      <c r="O126" s="129"/>
      <c r="P126" s="129"/>
      <c r="Q126" s="129"/>
      <c r="R126" s="129"/>
      <c r="S126" s="129"/>
    </row>
    <row r="127" spans="3:19" ht="14.25" customHeight="1">
      <c r="C127" s="261"/>
      <c r="D127" s="573"/>
      <c r="E127" s="573"/>
      <c r="F127" s="194"/>
      <c r="G127" s="573" t="s">
        <v>280</v>
      </c>
      <c r="H127" s="573"/>
      <c r="I127" s="194"/>
      <c r="J127" s="229"/>
      <c r="M127" s="129"/>
      <c r="N127" s="129"/>
      <c r="O127" s="129"/>
      <c r="P127" s="129"/>
      <c r="Q127" s="129"/>
      <c r="R127" s="129"/>
      <c r="S127" s="129"/>
    </row>
    <row r="128" spans="3:19" ht="14.25" customHeight="1">
      <c r="C128" s="261"/>
      <c r="D128" s="380"/>
      <c r="E128" s="381"/>
      <c r="F128" s="382"/>
      <c r="G128" s="380"/>
      <c r="H128" s="381"/>
      <c r="I128" s="382"/>
      <c r="J128" s="229"/>
      <c r="M128" s="129"/>
      <c r="N128" s="129"/>
      <c r="O128" s="129"/>
      <c r="P128" s="129"/>
      <c r="Q128" s="129"/>
      <c r="R128" s="129"/>
      <c r="S128" s="129"/>
    </row>
    <row r="129" spans="3:19" ht="14.25" customHeight="1">
      <c r="C129" s="261"/>
      <c r="D129" s="380"/>
      <c r="E129" s="381"/>
      <c r="F129" s="382"/>
      <c r="G129" s="380" t="s">
        <v>84</v>
      </c>
      <c r="H129" s="381">
        <v>1500</v>
      </c>
      <c r="I129" s="382"/>
      <c r="J129" s="229"/>
      <c r="M129" s="129"/>
      <c r="N129" s="129"/>
      <c r="O129" s="129"/>
      <c r="P129" s="129"/>
      <c r="Q129" s="129"/>
      <c r="R129" s="129"/>
      <c r="S129" s="129"/>
    </row>
    <row r="130" spans="3:19" ht="14.25" customHeight="1">
      <c r="C130" s="261"/>
      <c r="D130" s="380"/>
      <c r="E130" s="381"/>
      <c r="F130" s="382"/>
      <c r="G130" s="380" t="s">
        <v>275</v>
      </c>
      <c r="H130" s="381">
        <v>1</v>
      </c>
      <c r="I130" s="382"/>
      <c r="J130" s="229"/>
      <c r="M130" s="129"/>
      <c r="N130" s="129"/>
      <c r="O130" s="129"/>
      <c r="P130" s="129"/>
      <c r="Q130" s="129"/>
      <c r="R130" s="129"/>
      <c r="S130" s="129"/>
    </row>
    <row r="131" spans="3:19" ht="14.25" customHeight="1">
      <c r="C131" s="261"/>
      <c r="D131" s="380"/>
      <c r="E131" s="381"/>
      <c r="F131" s="384"/>
      <c r="G131" s="380" t="s">
        <v>281</v>
      </c>
      <c r="H131" s="381">
        <v>0.15</v>
      </c>
      <c r="I131" s="384" t="s">
        <v>89</v>
      </c>
      <c r="J131" s="229"/>
      <c r="M131" s="129"/>
      <c r="N131" s="129"/>
      <c r="O131" s="129"/>
      <c r="P131" s="129"/>
      <c r="Q131" s="129"/>
      <c r="R131" s="129"/>
      <c r="S131" s="129"/>
    </row>
    <row r="132" spans="3:19" ht="14.25" customHeight="1">
      <c r="C132" s="261"/>
      <c r="D132" s="380"/>
      <c r="E132" s="381"/>
      <c r="F132" s="382"/>
      <c r="G132" s="380" t="s">
        <v>0</v>
      </c>
      <c r="H132" s="458">
        <f>H129*H130*H131</f>
        <v>225</v>
      </c>
      <c r="I132" s="382" t="s">
        <v>73</v>
      </c>
      <c r="J132" s="229"/>
      <c r="M132" s="129"/>
      <c r="N132" s="129"/>
      <c r="O132" s="129"/>
      <c r="P132" s="129"/>
      <c r="Q132" s="129"/>
      <c r="R132" s="129"/>
      <c r="S132" s="129"/>
    </row>
    <row r="133" spans="3:19" ht="14.25" customHeight="1">
      <c r="C133" s="261"/>
      <c r="D133" s="380"/>
      <c r="E133" s="381"/>
      <c r="F133" s="382"/>
      <c r="G133" s="380"/>
      <c r="H133" s="381"/>
      <c r="I133" s="382"/>
      <c r="J133" s="229"/>
      <c r="M133" s="129"/>
      <c r="N133" s="129"/>
      <c r="O133" s="129"/>
      <c r="P133" s="129"/>
      <c r="Q133" s="129"/>
      <c r="R133" s="129"/>
      <c r="S133" s="129"/>
    </row>
    <row r="134" spans="3:19" ht="14.25" customHeight="1">
      <c r="C134" s="261"/>
      <c r="D134" s="573" t="s">
        <v>282</v>
      </c>
      <c r="E134" s="573"/>
      <c r="F134" s="194"/>
      <c r="G134" s="573" t="s">
        <v>283</v>
      </c>
      <c r="H134" s="573"/>
      <c r="I134" s="573"/>
      <c r="J134" s="606"/>
      <c r="M134" s="129"/>
      <c r="N134" s="129"/>
      <c r="O134" s="129"/>
      <c r="P134" s="129"/>
      <c r="Q134" s="129"/>
      <c r="R134" s="129"/>
      <c r="S134" s="129"/>
    </row>
    <row r="135" spans="3:19" ht="14.25" customHeight="1">
      <c r="C135" s="261"/>
      <c r="D135" s="380" t="s">
        <v>84</v>
      </c>
      <c r="E135" s="381">
        <v>1500</v>
      </c>
      <c r="F135" s="382"/>
      <c r="G135" s="380" t="s">
        <v>275</v>
      </c>
      <c r="H135" s="381">
        <v>0.6</v>
      </c>
      <c r="I135" s="382" t="s">
        <v>67</v>
      </c>
      <c r="J135" s="229"/>
      <c r="M135" s="129"/>
      <c r="N135" s="129"/>
      <c r="O135" s="129"/>
      <c r="P135" s="129"/>
      <c r="Q135" s="129"/>
      <c r="R135" s="129"/>
      <c r="S135" s="129"/>
    </row>
    <row r="136" spans="3:19" ht="14.25" customHeight="1">
      <c r="C136" s="261"/>
      <c r="D136" s="380" t="s">
        <v>275</v>
      </c>
      <c r="E136" s="381">
        <v>0.7</v>
      </c>
      <c r="F136" s="382"/>
      <c r="G136" s="380" t="s">
        <v>84</v>
      </c>
      <c r="H136" s="381">
        <v>588</v>
      </c>
      <c r="I136" s="382"/>
      <c r="J136" s="229"/>
      <c r="M136" s="129"/>
      <c r="N136" s="129"/>
      <c r="O136" s="129"/>
      <c r="P136" s="129"/>
      <c r="Q136" s="129"/>
      <c r="R136" s="129"/>
      <c r="S136" s="129"/>
    </row>
    <row r="137" spans="3:19" ht="14.25" customHeight="1">
      <c r="C137" s="261"/>
      <c r="D137" s="380" t="s">
        <v>281</v>
      </c>
      <c r="E137" s="381">
        <v>0.15</v>
      </c>
      <c r="F137" s="384" t="s">
        <v>89</v>
      </c>
      <c r="G137" s="380" t="s">
        <v>281</v>
      </c>
      <c r="H137" s="381">
        <v>0.15</v>
      </c>
      <c r="I137" s="384" t="s">
        <v>89</v>
      </c>
      <c r="J137" s="229"/>
      <c r="M137" s="129"/>
      <c r="N137" s="129"/>
      <c r="O137" s="129"/>
      <c r="P137" s="129"/>
      <c r="Q137" s="129"/>
      <c r="R137" s="129"/>
      <c r="S137" s="129"/>
    </row>
    <row r="138" spans="3:19" ht="14.25" customHeight="1">
      <c r="C138" s="261"/>
      <c r="D138" s="380" t="s">
        <v>0</v>
      </c>
      <c r="E138" s="458">
        <f>E135*E136*E137</f>
        <v>157.5</v>
      </c>
      <c r="F138" s="382" t="s">
        <v>73</v>
      </c>
      <c r="G138" s="380" t="s">
        <v>0</v>
      </c>
      <c r="H138" s="458">
        <f>H135*H136*H137</f>
        <v>52.92</v>
      </c>
      <c r="I138" s="382" t="s">
        <v>73</v>
      </c>
      <c r="J138" s="229"/>
      <c r="M138" s="129"/>
      <c r="N138" s="129"/>
      <c r="O138" s="129"/>
      <c r="P138" s="129"/>
      <c r="Q138" s="129"/>
      <c r="R138" s="129"/>
      <c r="S138" s="129"/>
    </row>
    <row r="139" spans="3:19" ht="14.25" customHeight="1">
      <c r="C139" s="261"/>
      <c r="D139" s="380"/>
      <c r="E139" s="383"/>
      <c r="F139" s="382"/>
      <c r="G139" s="380"/>
      <c r="H139" s="383"/>
      <c r="I139" s="382"/>
      <c r="J139" s="229"/>
      <c r="M139" s="129"/>
      <c r="N139" s="129"/>
      <c r="O139" s="129"/>
      <c r="P139" s="129"/>
      <c r="Q139" s="129"/>
      <c r="R139" s="129"/>
      <c r="S139" s="129"/>
    </row>
    <row r="140" spans="3:19" s="140" customFormat="1" ht="34.5" customHeight="1">
      <c r="C140" s="176" t="s">
        <v>239</v>
      </c>
      <c r="D140" s="534" t="str">
        <f>VLOOKUP($C140,Orçamento!D:P,4,0)</f>
        <v>FORMA PARA ESTRUTURAS DE CONCRETO , ESPESSURA = 12 MM,(FABRICACAO, MONTAGEM E DESMONTAGEM)</v>
      </c>
      <c r="E140" s="534"/>
      <c r="F140" s="534"/>
      <c r="G140" s="534"/>
      <c r="H140" s="534"/>
      <c r="I140" s="176" t="s">
        <v>229</v>
      </c>
      <c r="J140" s="145">
        <f>E147+H148+E154</f>
        <v>347.03999999999996</v>
      </c>
      <c r="K140" s="141"/>
    </row>
    <row r="141" spans="3:19" ht="14.25" customHeight="1">
      <c r="C141" s="259"/>
      <c r="D141" s="256"/>
      <c r="E141" s="256"/>
      <c r="F141" s="256"/>
      <c r="G141" s="256"/>
      <c r="H141" s="256"/>
      <c r="I141" s="260"/>
      <c r="J141" s="228"/>
      <c r="M141" s="129"/>
      <c r="N141" s="129"/>
      <c r="O141" s="129"/>
      <c r="P141" s="129"/>
      <c r="Q141" s="129"/>
      <c r="R141" s="129"/>
      <c r="S141" s="129"/>
    </row>
    <row r="142" spans="3:19" ht="14.25" customHeight="1">
      <c r="C142" s="261"/>
      <c r="D142" s="582" t="s">
        <v>148</v>
      </c>
      <c r="E142" s="582"/>
      <c r="F142" s="236"/>
      <c r="G142" s="385" t="s">
        <v>147</v>
      </c>
      <c r="H142" s="237"/>
      <c r="I142" s="236"/>
      <c r="J142" s="229"/>
      <c r="M142" s="129"/>
      <c r="N142" s="129"/>
      <c r="O142" s="129"/>
      <c r="P142" s="129"/>
      <c r="Q142" s="129"/>
      <c r="R142" s="129"/>
      <c r="S142" s="129"/>
    </row>
    <row r="143" spans="3:19" ht="14.25" customHeight="1">
      <c r="C143" s="261"/>
      <c r="D143" s="579" t="s">
        <v>263</v>
      </c>
      <c r="E143" s="580"/>
      <c r="F143" s="236"/>
      <c r="G143" s="579" t="s">
        <v>264</v>
      </c>
      <c r="H143" s="581"/>
      <c r="I143" s="580"/>
      <c r="J143" s="229"/>
      <c r="M143" s="129"/>
      <c r="N143" s="129"/>
      <c r="O143" s="129"/>
      <c r="P143" s="129"/>
      <c r="Q143" s="129"/>
      <c r="R143" s="129"/>
      <c r="S143" s="129"/>
    </row>
    <row r="144" spans="3:19" ht="14.25" customHeight="1">
      <c r="C144" s="261"/>
      <c r="D144" s="236" t="s">
        <v>87</v>
      </c>
      <c r="E144" s="237">
        <v>0.2</v>
      </c>
      <c r="F144" s="236" t="s">
        <v>67</v>
      </c>
      <c r="G144" s="236" t="s">
        <v>87</v>
      </c>
      <c r="H144" s="446">
        <v>0.15</v>
      </c>
      <c r="I144" s="236" t="s">
        <v>67</v>
      </c>
      <c r="J144" s="229"/>
      <c r="M144" s="129"/>
      <c r="N144" s="129"/>
      <c r="O144" s="129"/>
      <c r="P144" s="129"/>
      <c r="Q144" s="129"/>
      <c r="R144" s="129"/>
      <c r="S144" s="129"/>
    </row>
    <row r="145" spans="3:19" ht="14.25" customHeight="1">
      <c r="C145" s="261"/>
      <c r="D145" s="236" t="s">
        <v>88</v>
      </c>
      <c r="E145" s="446">
        <v>0.3</v>
      </c>
      <c r="F145" s="236" t="s">
        <v>67</v>
      </c>
      <c r="G145" s="236" t="s">
        <v>86</v>
      </c>
      <c r="H145" s="446">
        <v>0.15</v>
      </c>
      <c r="I145" s="236" t="s">
        <v>67</v>
      </c>
      <c r="J145" s="229"/>
      <c r="M145" s="129"/>
      <c r="N145" s="129"/>
      <c r="O145" s="129"/>
      <c r="P145" s="129"/>
      <c r="Q145" s="129"/>
      <c r="R145" s="129"/>
      <c r="S145" s="129"/>
    </row>
    <row r="146" spans="3:19" ht="14.25" customHeight="1">
      <c r="C146" s="261"/>
      <c r="D146" s="236" t="s">
        <v>86</v>
      </c>
      <c r="E146" s="446">
        <v>300</v>
      </c>
      <c r="F146" s="236" t="s">
        <v>67</v>
      </c>
      <c r="G146" s="236" t="s">
        <v>88</v>
      </c>
      <c r="H146" s="446">
        <v>1.2</v>
      </c>
      <c r="I146" s="236" t="s">
        <v>67</v>
      </c>
      <c r="J146" s="229"/>
      <c r="M146" s="129"/>
      <c r="N146" s="129"/>
      <c r="O146" s="129"/>
      <c r="P146" s="129"/>
      <c r="Q146" s="129"/>
      <c r="R146" s="129"/>
      <c r="S146" s="129"/>
    </row>
    <row r="147" spans="3:19" ht="14.25" customHeight="1">
      <c r="C147" s="261"/>
      <c r="D147" s="240" t="s">
        <v>0</v>
      </c>
      <c r="E147" s="239">
        <f>(0.3+0.3)*300</f>
        <v>180</v>
      </c>
      <c r="F147" s="240" t="s">
        <v>229</v>
      </c>
      <c r="G147" s="236" t="s">
        <v>84</v>
      </c>
      <c r="H147" s="446">
        <v>98</v>
      </c>
      <c r="J147" s="229"/>
      <c r="M147" s="129"/>
      <c r="N147" s="129"/>
      <c r="O147" s="129"/>
      <c r="P147" s="129"/>
      <c r="Q147" s="129"/>
      <c r="R147" s="129"/>
      <c r="S147" s="129"/>
    </row>
    <row r="148" spans="3:19" ht="14.25" customHeight="1">
      <c r="C148" s="261"/>
      <c r="G148" s="236" t="s">
        <v>0</v>
      </c>
      <c r="H148" s="239">
        <f>(0.2+0.2)*1.2*98</f>
        <v>47.04</v>
      </c>
      <c r="I148" s="240" t="s">
        <v>229</v>
      </c>
      <c r="J148" s="229"/>
      <c r="M148" s="129"/>
      <c r="N148" s="129"/>
      <c r="O148" s="129"/>
      <c r="P148" s="129"/>
      <c r="Q148" s="129"/>
      <c r="R148" s="129"/>
      <c r="S148" s="129"/>
    </row>
    <row r="149" spans="3:19" ht="14.25" customHeight="1">
      <c r="C149" s="261"/>
      <c r="D149" s="582" t="s">
        <v>265</v>
      </c>
      <c r="E149" s="582"/>
      <c r="F149" s="236"/>
      <c r="G149" s="236"/>
      <c r="H149" s="237"/>
      <c r="I149" s="240"/>
      <c r="J149" s="229"/>
      <c r="M149" s="129"/>
      <c r="N149" s="129"/>
      <c r="O149" s="129"/>
      <c r="P149" s="129"/>
      <c r="Q149" s="129"/>
      <c r="R149" s="129"/>
      <c r="S149" s="129"/>
    </row>
    <row r="150" spans="3:19" ht="14.25" customHeight="1">
      <c r="C150" s="261"/>
      <c r="D150" s="579" t="s">
        <v>266</v>
      </c>
      <c r="E150" s="580"/>
      <c r="F150" s="236"/>
      <c r="G150" s="236"/>
      <c r="H150" s="237"/>
      <c r="I150" s="240"/>
      <c r="J150" s="229"/>
      <c r="M150" s="129"/>
      <c r="N150" s="129"/>
      <c r="O150" s="129"/>
      <c r="P150" s="129"/>
      <c r="Q150" s="129"/>
      <c r="R150" s="129"/>
      <c r="S150" s="129"/>
    </row>
    <row r="151" spans="3:19" ht="24" customHeight="1">
      <c r="C151" s="261"/>
      <c r="D151" s="236" t="s">
        <v>87</v>
      </c>
      <c r="E151" s="237">
        <v>0.2</v>
      </c>
      <c r="F151" s="236" t="s">
        <v>67</v>
      </c>
      <c r="G151" s="236"/>
      <c r="H151" s="237"/>
      <c r="I151" s="240"/>
      <c r="J151" s="229"/>
      <c r="M151" s="129"/>
      <c r="N151" s="129"/>
      <c r="O151" s="129"/>
      <c r="P151" s="129"/>
      <c r="Q151" s="129"/>
      <c r="R151" s="129"/>
      <c r="S151" s="129"/>
    </row>
    <row r="152" spans="3:19" ht="22.5" customHeight="1">
      <c r="C152" s="261"/>
      <c r="D152" s="236" t="s">
        <v>88</v>
      </c>
      <c r="E152" s="237">
        <v>0.2</v>
      </c>
      <c r="F152" s="236" t="s">
        <v>67</v>
      </c>
      <c r="G152" s="236"/>
      <c r="H152" s="237"/>
      <c r="I152" s="240"/>
      <c r="J152" s="229"/>
      <c r="M152" s="129"/>
      <c r="N152" s="129"/>
      <c r="O152" s="129"/>
      <c r="P152" s="129"/>
      <c r="Q152" s="129"/>
      <c r="R152" s="129"/>
      <c r="S152" s="129"/>
    </row>
    <row r="153" spans="3:19" ht="18" customHeight="1">
      <c r="C153" s="261"/>
      <c r="D153" s="236" t="s">
        <v>86</v>
      </c>
      <c r="E153" s="237">
        <v>300</v>
      </c>
      <c r="F153" s="236" t="s">
        <v>67</v>
      </c>
      <c r="G153" s="236"/>
      <c r="H153" s="237"/>
      <c r="I153" s="240"/>
      <c r="J153" s="229"/>
      <c r="M153" s="129"/>
      <c r="N153" s="129"/>
      <c r="O153" s="129"/>
      <c r="P153" s="129"/>
      <c r="Q153" s="129"/>
      <c r="R153" s="129"/>
      <c r="S153" s="129"/>
    </row>
    <row r="154" spans="3:19" ht="14.25" customHeight="1">
      <c r="C154" s="261"/>
      <c r="D154" s="240" t="s">
        <v>0</v>
      </c>
      <c r="E154" s="239">
        <f>(0.2+0.2)*300</f>
        <v>120</v>
      </c>
      <c r="F154" s="240" t="s">
        <v>229</v>
      </c>
      <c r="G154" s="434"/>
      <c r="H154" s="194"/>
      <c r="I154" s="434"/>
      <c r="J154" s="229"/>
      <c r="M154" s="129"/>
      <c r="N154" s="129"/>
      <c r="O154" s="129"/>
      <c r="P154" s="129"/>
      <c r="Q154" s="129"/>
      <c r="R154" s="129"/>
      <c r="S154" s="129"/>
    </row>
    <row r="155" spans="3:19" ht="14.25" customHeight="1">
      <c r="C155" s="261"/>
      <c r="D155" s="240"/>
      <c r="E155" s="237"/>
      <c r="F155" s="240"/>
      <c r="G155" s="434"/>
      <c r="H155" s="194"/>
      <c r="I155" s="434"/>
      <c r="J155" s="229"/>
      <c r="M155" s="129"/>
      <c r="N155" s="129"/>
      <c r="O155" s="129"/>
      <c r="P155" s="129"/>
      <c r="Q155" s="129"/>
      <c r="R155" s="129"/>
      <c r="S155" s="129"/>
    </row>
    <row r="156" spans="3:19" s="140" customFormat="1" ht="34.5" customHeight="1">
      <c r="C156" s="176" t="s">
        <v>240</v>
      </c>
      <c r="D156" s="534" t="str">
        <f>VLOOKUP($C156,Orçamento!D:P,4,0)</f>
        <v>Escavacao manual de vala em material de 1A categoria ate 1,5m excluindo esgotamento / escoramento</v>
      </c>
      <c r="E156" s="534"/>
      <c r="F156" s="534"/>
      <c r="G156" s="534"/>
      <c r="H156" s="534"/>
      <c r="I156" s="176" t="s">
        <v>258</v>
      </c>
      <c r="J156" s="145">
        <f>E163</f>
        <v>31.5</v>
      </c>
      <c r="K156" s="141"/>
    </row>
    <row r="157" spans="3:19" ht="14.25" customHeight="1">
      <c r="C157" s="259"/>
      <c r="D157" s="256"/>
      <c r="E157" s="256"/>
      <c r="F157" s="256"/>
      <c r="G157" s="256"/>
      <c r="H157" s="256"/>
      <c r="I157" s="260"/>
      <c r="J157" s="228"/>
      <c r="M157" s="129"/>
      <c r="N157" s="129"/>
      <c r="O157" s="129"/>
      <c r="P157" s="129"/>
      <c r="Q157" s="129"/>
      <c r="R157" s="129"/>
      <c r="S157" s="129"/>
    </row>
    <row r="158" spans="3:19" ht="14.25" customHeight="1">
      <c r="C158" s="261"/>
      <c r="D158" s="582" t="s">
        <v>148</v>
      </c>
      <c r="E158" s="582"/>
      <c r="F158" s="236"/>
      <c r="G158" s="257"/>
      <c r="H158" s="257"/>
      <c r="I158" s="182"/>
      <c r="J158" s="229"/>
      <c r="M158" s="129"/>
      <c r="N158" s="129"/>
      <c r="O158" s="129"/>
      <c r="P158" s="129"/>
      <c r="Q158" s="129"/>
      <c r="R158" s="129"/>
      <c r="S158" s="129"/>
    </row>
    <row r="159" spans="3:19" ht="14.25" customHeight="1">
      <c r="C159" s="261"/>
      <c r="D159" s="607"/>
      <c r="E159" s="607"/>
      <c r="F159" s="236"/>
      <c r="G159" s="257"/>
      <c r="H159" s="257"/>
      <c r="I159" s="182"/>
      <c r="J159" s="229"/>
      <c r="M159" s="129"/>
      <c r="N159" s="129"/>
      <c r="O159" s="129"/>
      <c r="P159" s="129"/>
      <c r="Q159" s="129"/>
      <c r="R159" s="129"/>
      <c r="S159" s="129"/>
    </row>
    <row r="160" spans="3:19" ht="14.25" customHeight="1">
      <c r="C160" s="261"/>
      <c r="D160" s="236" t="s">
        <v>87</v>
      </c>
      <c r="E160" s="237">
        <v>0.35</v>
      </c>
      <c r="F160" s="236" t="s">
        <v>67</v>
      </c>
      <c r="G160" s="257"/>
      <c r="H160" s="257"/>
      <c r="I160" s="182"/>
      <c r="J160" s="229"/>
      <c r="M160" s="129"/>
      <c r="N160" s="129"/>
      <c r="O160" s="129"/>
      <c r="P160" s="129"/>
      <c r="Q160" s="129"/>
      <c r="R160" s="129"/>
      <c r="S160" s="129"/>
    </row>
    <row r="161" spans="3:19" ht="14.25" customHeight="1">
      <c r="C161" s="261"/>
      <c r="D161" s="236" t="s">
        <v>88</v>
      </c>
      <c r="E161" s="446">
        <v>0.3</v>
      </c>
      <c r="F161" s="236" t="s">
        <v>67</v>
      </c>
      <c r="G161" s="257"/>
      <c r="H161" s="257"/>
      <c r="I161" s="182"/>
      <c r="J161" s="229"/>
      <c r="M161" s="129"/>
      <c r="N161" s="129"/>
      <c r="O161" s="129"/>
      <c r="P161" s="129"/>
      <c r="Q161" s="129"/>
      <c r="R161" s="129"/>
      <c r="S161" s="129"/>
    </row>
    <row r="162" spans="3:19" ht="14.25" customHeight="1">
      <c r="C162" s="261"/>
      <c r="D162" s="236" t="s">
        <v>86</v>
      </c>
      <c r="E162" s="446">
        <v>300</v>
      </c>
      <c r="F162" s="236" t="s">
        <v>67</v>
      </c>
      <c r="G162" s="257"/>
      <c r="H162" s="257"/>
      <c r="I162" s="182"/>
      <c r="J162" s="229"/>
      <c r="M162" s="129"/>
      <c r="N162" s="129"/>
      <c r="O162" s="129"/>
      <c r="P162" s="129"/>
      <c r="Q162" s="129"/>
      <c r="R162" s="129"/>
      <c r="S162" s="129"/>
    </row>
    <row r="163" spans="3:19" ht="14.25" customHeight="1">
      <c r="C163" s="261"/>
      <c r="D163" s="240" t="s">
        <v>0</v>
      </c>
      <c r="E163" s="239">
        <f>E160*E161*E162</f>
        <v>31.5</v>
      </c>
      <c r="F163" s="240" t="s">
        <v>258</v>
      </c>
      <c r="G163" s="257"/>
      <c r="H163" s="257"/>
      <c r="I163" s="182"/>
      <c r="J163" s="229"/>
      <c r="M163" s="129"/>
      <c r="N163" s="129"/>
      <c r="O163" s="129"/>
      <c r="P163" s="129"/>
      <c r="Q163" s="129"/>
      <c r="R163" s="129"/>
      <c r="S163" s="129"/>
    </row>
    <row r="164" spans="3:19" ht="14.25" customHeight="1">
      <c r="C164" s="261"/>
      <c r="D164" s="257"/>
      <c r="E164" s="257"/>
      <c r="F164" s="257"/>
      <c r="G164" s="257"/>
      <c r="H164" s="257"/>
      <c r="I164" s="182"/>
      <c r="J164" s="229"/>
      <c r="M164" s="129"/>
      <c r="N164" s="129"/>
      <c r="O164" s="129"/>
      <c r="P164" s="129"/>
      <c r="Q164" s="129"/>
      <c r="R164" s="129"/>
      <c r="S164" s="129"/>
    </row>
    <row r="165" spans="3:19" s="140" customFormat="1" ht="36" customHeight="1">
      <c r="C165" s="176" t="s">
        <v>241</v>
      </c>
      <c r="D165" s="534" t="str">
        <f>VLOOKUP($C165,Orçamento!D:P,4,0)</f>
        <v>Regularização e compactação de fundo de vala</v>
      </c>
      <c r="E165" s="534"/>
      <c r="F165" s="534"/>
      <c r="G165" s="534"/>
      <c r="H165" s="534"/>
      <c r="I165" s="176" t="s">
        <v>229</v>
      </c>
      <c r="J165" s="145">
        <f>F169</f>
        <v>105</v>
      </c>
      <c r="K165" s="141"/>
    </row>
    <row r="166" spans="3:19" s="140" customFormat="1" ht="36" customHeight="1">
      <c r="C166" s="198"/>
      <c r="D166" s="440"/>
      <c r="E166" s="440" t="s">
        <v>284</v>
      </c>
      <c r="F166" s="440"/>
      <c r="G166" s="440"/>
      <c r="H166" s="440"/>
      <c r="I166" s="439"/>
      <c r="J166" s="184"/>
      <c r="K166" s="141"/>
    </row>
    <row r="167" spans="3:19" s="140" customFormat="1" ht="36" customHeight="1">
      <c r="C167" s="436"/>
      <c r="D167" s="194"/>
      <c r="E167" s="384" t="s">
        <v>109</v>
      </c>
      <c r="F167" s="381">
        <v>0.35</v>
      </c>
      <c r="G167" s="382"/>
      <c r="H167" s="194"/>
      <c r="I167" s="434"/>
      <c r="J167" s="183"/>
      <c r="K167" s="141"/>
    </row>
    <row r="168" spans="3:19" s="140" customFormat="1" ht="36" customHeight="1">
      <c r="C168" s="436"/>
      <c r="D168" s="194"/>
      <c r="E168" s="384" t="s">
        <v>275</v>
      </c>
      <c r="F168" s="381">
        <v>300</v>
      </c>
      <c r="G168" s="382"/>
      <c r="H168" s="194"/>
      <c r="I168" s="434"/>
      <c r="J168" s="183"/>
      <c r="K168" s="141"/>
    </row>
    <row r="169" spans="3:19" s="140" customFormat="1" ht="36" customHeight="1">
      <c r="C169" s="199"/>
      <c r="D169" s="400"/>
      <c r="E169" s="384" t="s">
        <v>0</v>
      </c>
      <c r="F169" s="383">
        <f>F167*F168</f>
        <v>105</v>
      </c>
      <c r="G169" s="382" t="s">
        <v>229</v>
      </c>
      <c r="H169" s="400"/>
      <c r="I169" s="438"/>
      <c r="J169" s="186"/>
      <c r="K169" s="141"/>
    </row>
    <row r="170" spans="3:19" s="140" customFormat="1" ht="33.75" customHeight="1">
      <c r="C170" s="176" t="s">
        <v>242</v>
      </c>
      <c r="D170" s="534" t="str">
        <f>VLOOKUP($C170,Orçamento!D:P,4,0)</f>
        <v>Reaterro manual e compactado</v>
      </c>
      <c r="E170" s="534"/>
      <c r="F170" s="534"/>
      <c r="G170" s="534"/>
      <c r="H170" s="534"/>
      <c r="I170" s="176" t="s">
        <v>258</v>
      </c>
      <c r="J170" s="145">
        <f>E175</f>
        <v>18</v>
      </c>
      <c r="K170" s="141"/>
    </row>
    <row r="171" spans="3:19" s="140" customFormat="1" ht="33.75" customHeight="1">
      <c r="C171" s="198"/>
      <c r="D171" s="245" t="s">
        <v>284</v>
      </c>
      <c r="E171" s="440"/>
      <c r="F171" s="440"/>
      <c r="G171" s="440"/>
      <c r="H171" s="440"/>
      <c r="I171" s="439"/>
      <c r="J171" s="184"/>
      <c r="K171" s="141"/>
    </row>
    <row r="172" spans="3:19" s="140" customFormat="1" ht="33.75" customHeight="1">
      <c r="C172" s="436"/>
      <c r="D172" s="384" t="s">
        <v>109</v>
      </c>
      <c r="E172" s="381">
        <v>0.1</v>
      </c>
      <c r="F172" s="382"/>
      <c r="G172" s="194"/>
      <c r="H172" s="194"/>
      <c r="I172" s="434"/>
      <c r="J172" s="183"/>
      <c r="K172" s="141"/>
    </row>
    <row r="173" spans="3:19" s="140" customFormat="1" ht="33.75" customHeight="1">
      <c r="C173" s="436"/>
      <c r="D173" s="384" t="s">
        <v>285</v>
      </c>
      <c r="E173" s="381">
        <v>0.3</v>
      </c>
      <c r="F173" s="382"/>
      <c r="G173" s="194"/>
      <c r="H173" s="194"/>
      <c r="I173" s="434"/>
      <c r="J173" s="183"/>
      <c r="K173" s="141"/>
    </row>
    <row r="174" spans="3:19" s="140" customFormat="1" ht="33.75" customHeight="1">
      <c r="C174" s="436"/>
      <c r="D174" s="384" t="s">
        <v>275</v>
      </c>
      <c r="E174" s="381">
        <v>300</v>
      </c>
      <c r="F174" s="382" t="s">
        <v>286</v>
      </c>
      <c r="G174" s="194"/>
      <c r="H174" s="194"/>
      <c r="I174" s="434"/>
      <c r="J174" s="183"/>
      <c r="K174" s="141"/>
    </row>
    <row r="175" spans="3:19" s="140" customFormat="1" ht="33.75" customHeight="1">
      <c r="C175" s="199"/>
      <c r="D175" s="384" t="s">
        <v>0</v>
      </c>
      <c r="E175" s="383">
        <f>(300*2)*E173*E172</f>
        <v>18</v>
      </c>
      <c r="F175" s="382" t="s">
        <v>258</v>
      </c>
      <c r="G175" s="400"/>
      <c r="H175" s="400"/>
      <c r="I175" s="438"/>
      <c r="J175" s="186"/>
      <c r="K175" s="141"/>
    </row>
    <row r="176" spans="3:19" ht="33" customHeight="1">
      <c r="C176" s="176" t="s">
        <v>243</v>
      </c>
      <c r="D176" s="534" t="str">
        <f>VLOOKUP($C176,Orçamento!D:P,4,0)</f>
        <v>Alvenaria de blocos de concreto estrutural 14x19x39cm (espessura (14 cm), FBK = 4,5 MPA, para paredes com área liquida maior ou igual a 6m², sem vãos, utilizando palheta</v>
      </c>
      <c r="E176" s="534"/>
      <c r="F176" s="534"/>
      <c r="G176" s="534"/>
      <c r="H176" s="534"/>
      <c r="I176" s="176" t="s">
        <v>229</v>
      </c>
      <c r="J176" s="145">
        <f>E179</f>
        <v>300</v>
      </c>
    </row>
    <row r="177" spans="3:20" ht="33" customHeight="1">
      <c r="C177" s="198"/>
      <c r="D177" s="380" t="s">
        <v>86</v>
      </c>
      <c r="E177" s="387">
        <v>300</v>
      </c>
      <c r="F177" s="382" t="s">
        <v>67</v>
      </c>
      <c r="G177" s="440"/>
      <c r="H177" s="440"/>
      <c r="I177" s="439"/>
      <c r="J177" s="184"/>
    </row>
    <row r="178" spans="3:20" ht="33" customHeight="1">
      <c r="C178" s="436"/>
      <c r="D178" s="380" t="s">
        <v>88</v>
      </c>
      <c r="E178" s="387">
        <v>1</v>
      </c>
      <c r="F178" s="382" t="s">
        <v>67</v>
      </c>
      <c r="G178" s="194"/>
      <c r="H178" s="194"/>
      <c r="I178" s="434"/>
      <c r="J178" s="183"/>
    </row>
    <row r="179" spans="3:20" ht="33" customHeight="1">
      <c r="C179" s="199"/>
      <c r="D179" s="380" t="s">
        <v>0</v>
      </c>
      <c r="E179" s="388">
        <f>E177*E178</f>
        <v>300</v>
      </c>
      <c r="F179" s="382" t="s">
        <v>64</v>
      </c>
      <c r="G179" s="400"/>
      <c r="H179" s="400"/>
      <c r="I179" s="438"/>
      <c r="J179" s="186"/>
    </row>
    <row r="180" spans="3:20" ht="30" customHeight="1">
      <c r="C180" s="176" t="s">
        <v>244</v>
      </c>
      <c r="D180" s="534" t="str">
        <f>VLOOKUP($C180,Orçamento!D:P,4,0)</f>
        <v>Chapisco aplicado tanto em pilares e vigas de concreto como em alvenaria de fachada sem presença de vãos, com colher de pedreiro. Argamassa traço 1:3 com preparo manual</v>
      </c>
      <c r="E180" s="534"/>
      <c r="F180" s="534"/>
      <c r="G180" s="534"/>
      <c r="H180" s="534"/>
      <c r="I180" s="176" t="str">
        <f>I176</f>
        <v>m2</v>
      </c>
      <c r="J180" s="145">
        <f>E183</f>
        <v>360</v>
      </c>
    </row>
    <row r="181" spans="3:20" ht="30" customHeight="1">
      <c r="C181" s="198"/>
      <c r="D181" s="380" t="s">
        <v>86</v>
      </c>
      <c r="E181" s="387">
        <v>300</v>
      </c>
      <c r="F181" s="382" t="s">
        <v>67</v>
      </c>
      <c r="G181" s="440"/>
      <c r="H181" s="440"/>
      <c r="I181" s="439"/>
      <c r="J181" s="184"/>
    </row>
    <row r="182" spans="3:20" ht="30" customHeight="1">
      <c r="C182" s="436"/>
      <c r="D182" s="380" t="s">
        <v>88</v>
      </c>
      <c r="E182" s="387">
        <v>1.2</v>
      </c>
      <c r="F182" s="382" t="s">
        <v>67</v>
      </c>
      <c r="G182" s="194"/>
      <c r="H182" s="194"/>
      <c r="I182" s="434"/>
      <c r="J182" s="183"/>
    </row>
    <row r="183" spans="3:20" ht="30" customHeight="1">
      <c r="C183" s="436"/>
      <c r="D183" s="380" t="s">
        <v>0</v>
      </c>
      <c r="E183" s="388">
        <f>E181*E182</f>
        <v>360</v>
      </c>
      <c r="F183" s="382" t="s">
        <v>64</v>
      </c>
      <c r="G183" s="194"/>
      <c r="H183" s="194"/>
      <c r="I183" s="434"/>
      <c r="J183" s="183"/>
    </row>
    <row r="184" spans="3:20" s="140" customFormat="1" ht="33" customHeight="1">
      <c r="C184" s="176" t="s">
        <v>245</v>
      </c>
      <c r="D184" s="534" t="str">
        <f>VLOOKUP($C184,Orçamento!D:P,4,0)</f>
        <v>Reboco com argamassa pre-fabricada, espessura 0,5cm, preparo mecanico da argamassa</v>
      </c>
      <c r="E184" s="534"/>
      <c r="F184" s="534"/>
      <c r="G184" s="534"/>
      <c r="H184" s="534"/>
      <c r="I184" s="176" t="str">
        <f>I180</f>
        <v>m2</v>
      </c>
      <c r="J184" s="145">
        <f>J180</f>
        <v>360</v>
      </c>
      <c r="K184" s="141"/>
      <c r="M184" s="142"/>
      <c r="N184" s="142"/>
      <c r="O184" s="142"/>
      <c r="P184" s="142"/>
      <c r="Q184" s="142"/>
    </row>
    <row r="185" spans="3:20" s="140" customFormat="1" ht="33.75" customHeight="1">
      <c r="C185" s="176" t="s">
        <v>246</v>
      </c>
      <c r="D185" s="565" t="str">
        <f>VLOOKUP($C185,Orçamento!D:P,4,0)</f>
        <v>Aplicação de fundo selador látex pva em paredes, uma demão.</v>
      </c>
      <c r="E185" s="565"/>
      <c r="F185" s="565"/>
      <c r="G185" s="565"/>
      <c r="H185" s="565"/>
      <c r="I185" s="177" t="str">
        <f>I176</f>
        <v>m2</v>
      </c>
      <c r="J185" s="151">
        <f>J180</f>
        <v>360</v>
      </c>
      <c r="K185" s="141"/>
      <c r="Q185" s="142"/>
      <c r="R185" s="142"/>
      <c r="S185" s="142"/>
      <c r="T185" s="142"/>
    </row>
    <row r="186" spans="3:20" ht="14.25" customHeight="1">
      <c r="C186" s="261"/>
      <c r="D186" s="256"/>
      <c r="E186" s="256"/>
      <c r="F186" s="256"/>
      <c r="G186" s="256"/>
      <c r="H186" s="256"/>
      <c r="I186" s="260"/>
      <c r="J186" s="228"/>
      <c r="M186" s="129"/>
      <c r="N186" s="129"/>
      <c r="O186" s="129"/>
      <c r="P186" s="129"/>
      <c r="Q186" s="129"/>
      <c r="R186" s="129"/>
      <c r="S186" s="129"/>
    </row>
    <row r="187" spans="3:20" ht="24" customHeight="1">
      <c r="C187" s="261"/>
      <c r="D187" s="302"/>
      <c r="E187" s="380" t="s">
        <v>86</v>
      </c>
      <c r="F187" s="381">
        <v>300</v>
      </c>
      <c r="G187" s="382" t="s">
        <v>67</v>
      </c>
      <c r="H187" s="257"/>
      <c r="I187" s="182"/>
      <c r="J187" s="229"/>
      <c r="M187" s="129"/>
      <c r="N187" s="129"/>
      <c r="O187" s="129"/>
      <c r="P187" s="129"/>
      <c r="Q187" s="129"/>
      <c r="R187" s="129"/>
      <c r="S187" s="129"/>
    </row>
    <row r="188" spans="3:20" ht="22.5" customHeight="1">
      <c r="C188" s="261"/>
      <c r="D188" s="302"/>
      <c r="E188" s="380" t="s">
        <v>87</v>
      </c>
      <c r="F188" s="381">
        <v>1.2</v>
      </c>
      <c r="G188" s="382" t="s">
        <v>67</v>
      </c>
      <c r="H188" s="257"/>
      <c r="I188" s="182"/>
      <c r="J188" s="229"/>
      <c r="M188" s="129"/>
      <c r="N188" s="129"/>
      <c r="O188" s="129"/>
      <c r="P188" s="129"/>
      <c r="Q188" s="129"/>
      <c r="R188" s="129"/>
      <c r="S188" s="129"/>
    </row>
    <row r="189" spans="3:20" ht="18" customHeight="1">
      <c r="C189" s="261"/>
      <c r="D189" s="302"/>
      <c r="E189" s="380" t="s">
        <v>0</v>
      </c>
      <c r="F189" s="383">
        <f>F187*F188</f>
        <v>360</v>
      </c>
      <c r="G189" s="382" t="s">
        <v>64</v>
      </c>
      <c r="H189" s="257"/>
      <c r="I189" s="182"/>
      <c r="J189" s="229"/>
      <c r="M189" s="129"/>
      <c r="N189" s="129"/>
      <c r="O189" s="129"/>
      <c r="P189" s="129"/>
      <c r="Q189" s="129"/>
      <c r="R189" s="129"/>
      <c r="S189" s="129"/>
    </row>
    <row r="190" spans="3:20" ht="14.25" customHeight="1">
      <c r="C190" s="261"/>
      <c r="D190" s="257"/>
      <c r="E190" s="262"/>
      <c r="F190" s="257"/>
      <c r="G190" s="257"/>
      <c r="H190" s="257"/>
      <c r="I190" s="182"/>
      <c r="J190" s="229"/>
      <c r="M190" s="129"/>
      <c r="N190" s="129"/>
      <c r="O190" s="129"/>
      <c r="P190" s="129"/>
      <c r="Q190" s="129"/>
      <c r="R190" s="129"/>
      <c r="S190" s="129"/>
    </row>
    <row r="191" spans="3:20" s="140" customFormat="1" ht="27" customHeight="1" thickBot="1">
      <c r="C191" s="176" t="s">
        <v>247</v>
      </c>
      <c r="D191" s="546" t="str">
        <f>VLOOKUP($C191,Orçamento!D:P,4,0)</f>
        <v>Pintura pva,duas demaos</v>
      </c>
      <c r="E191" s="547"/>
      <c r="F191" s="547"/>
      <c r="G191" s="547"/>
      <c r="H191" s="548"/>
      <c r="I191" s="176" t="str">
        <f>I185</f>
        <v>m2</v>
      </c>
      <c r="J191" s="145">
        <f>J185</f>
        <v>360</v>
      </c>
      <c r="K191" s="141"/>
    </row>
    <row r="192" spans="3:20" s="140" customFormat="1" ht="24.95" customHeight="1" thickBot="1">
      <c r="C192" s="202">
        <v>4</v>
      </c>
      <c r="D192" s="535" t="str">
        <f>VLOOKUP($C192,Orçamento!D:P,4,0)</f>
        <v>GALPÃO E COBERTURA</v>
      </c>
      <c r="E192" s="535"/>
      <c r="F192" s="535"/>
      <c r="G192" s="535"/>
      <c r="H192" s="535"/>
      <c r="I192" s="203"/>
      <c r="J192" s="204"/>
      <c r="K192" s="141"/>
      <c r="M192" s="142"/>
      <c r="N192" s="142"/>
      <c r="O192" s="142"/>
      <c r="P192" s="142"/>
      <c r="Q192" s="142"/>
    </row>
    <row r="193" spans="3:12" ht="25.5" customHeight="1">
      <c r="C193" s="177" t="s">
        <v>82</v>
      </c>
      <c r="D193" s="565" t="str">
        <f>VLOOKUP($C193,Orçamento!D:P,4,0)</f>
        <v xml:space="preserve">Estrutura metalica em aço estrutural Perfis W A-572 – Grau 50 </v>
      </c>
      <c r="E193" s="565"/>
      <c r="F193" s="565"/>
      <c r="G193" s="565"/>
      <c r="H193" s="565"/>
      <c r="I193" s="177">
        <f>VLOOKUP($C193,Orçamento!D:P,8,0)</f>
        <v>0</v>
      </c>
      <c r="J193" s="151">
        <f>E199+H199+E204</f>
        <v>28536</v>
      </c>
    </row>
    <row r="194" spans="3:12" ht="11.25" customHeight="1">
      <c r="C194" s="198"/>
      <c r="D194" s="328"/>
      <c r="E194" s="328"/>
      <c r="F194" s="328"/>
      <c r="G194" s="328"/>
      <c r="H194" s="328"/>
      <c r="I194" s="329"/>
      <c r="J194" s="184"/>
    </row>
    <row r="195" spans="3:12" ht="17.25" customHeight="1">
      <c r="C195" s="326"/>
      <c r="D195" s="539" t="str">
        <f>D193</f>
        <v xml:space="preserve">Estrutura metalica em aço estrutural Perfis W A-572 – Grau 50 </v>
      </c>
      <c r="E195" s="539"/>
      <c r="F195" s="539"/>
      <c r="G195" s="194"/>
      <c r="H195" s="194"/>
      <c r="I195" s="324"/>
      <c r="J195" s="183"/>
    </row>
    <row r="196" spans="3:12" ht="17.25" customHeight="1">
      <c r="C196" s="326"/>
      <c r="D196" s="194" t="s">
        <v>88</v>
      </c>
      <c r="E196" s="322">
        <v>6</v>
      </c>
      <c r="F196" s="194" t="s">
        <v>67</v>
      </c>
      <c r="G196" s="194" t="s">
        <v>88</v>
      </c>
      <c r="H196" s="322">
        <v>10</v>
      </c>
      <c r="I196" s="194" t="s">
        <v>67</v>
      </c>
      <c r="J196" s="183"/>
    </row>
    <row r="197" spans="3:12" ht="17.25" customHeight="1">
      <c r="C197" s="326"/>
      <c r="D197" s="194" t="s">
        <v>84</v>
      </c>
      <c r="E197" s="322">
        <v>36</v>
      </c>
      <c r="F197" s="194"/>
      <c r="G197" s="194" t="s">
        <v>84</v>
      </c>
      <c r="H197" s="322">
        <v>18</v>
      </c>
      <c r="I197" s="194"/>
      <c r="J197" s="183"/>
    </row>
    <row r="198" spans="3:12" ht="17.25" customHeight="1">
      <c r="C198" s="326"/>
      <c r="D198" s="194" t="s">
        <v>89</v>
      </c>
      <c r="E198" s="322">
        <v>58</v>
      </c>
      <c r="F198" s="194"/>
      <c r="G198" s="194" t="s">
        <v>89</v>
      </c>
      <c r="H198" s="322">
        <v>58</v>
      </c>
      <c r="I198" s="194"/>
      <c r="J198" s="183"/>
      <c r="L198" s="235"/>
    </row>
    <row r="199" spans="3:12" ht="17.25" customHeight="1">
      <c r="C199" s="326"/>
      <c r="D199" s="194"/>
      <c r="E199" s="322">
        <f>E196*E197*E198</f>
        <v>12528</v>
      </c>
      <c r="F199" s="194" t="s">
        <v>73</v>
      </c>
      <c r="G199" s="194"/>
      <c r="H199" s="322">
        <f>H196*H197*H198</f>
        <v>10440</v>
      </c>
      <c r="I199" s="194" t="s">
        <v>73</v>
      </c>
      <c r="J199" s="183"/>
    </row>
    <row r="200" spans="3:12" ht="12.75" customHeight="1">
      <c r="C200" s="326"/>
      <c r="D200" s="194"/>
      <c r="E200" s="194"/>
      <c r="F200" s="194"/>
      <c r="G200" s="194"/>
      <c r="H200" s="194"/>
      <c r="I200" s="324"/>
      <c r="J200" s="183"/>
    </row>
    <row r="201" spans="3:12" ht="17.25" customHeight="1">
      <c r="C201" s="326"/>
      <c r="D201" s="194" t="s">
        <v>88</v>
      </c>
      <c r="E201" s="322">
        <v>8</v>
      </c>
      <c r="F201" s="194" t="s">
        <v>67</v>
      </c>
      <c r="G201" s="194"/>
      <c r="H201" s="322"/>
      <c r="I201" s="194"/>
      <c r="J201" s="183"/>
    </row>
    <row r="202" spans="3:12" ht="17.25" customHeight="1">
      <c r="C202" s="326"/>
      <c r="D202" s="194" t="s">
        <v>84</v>
      </c>
      <c r="E202" s="322">
        <v>12</v>
      </c>
      <c r="F202" s="194"/>
      <c r="G202" s="194"/>
      <c r="H202" s="322"/>
      <c r="I202" s="194"/>
      <c r="J202" s="183"/>
    </row>
    <row r="203" spans="3:12" ht="17.25" customHeight="1">
      <c r="C203" s="326"/>
      <c r="D203" s="194" t="s">
        <v>89</v>
      </c>
      <c r="E203" s="322">
        <v>58</v>
      </c>
      <c r="F203" s="194"/>
      <c r="G203" s="194"/>
      <c r="H203" s="322"/>
      <c r="I203" s="194"/>
      <c r="J203" s="183"/>
      <c r="L203" s="235"/>
    </row>
    <row r="204" spans="3:12" ht="17.25" customHeight="1">
      <c r="C204" s="326"/>
      <c r="D204" s="194"/>
      <c r="E204" s="322">
        <f>E201*E202*E203</f>
        <v>5568</v>
      </c>
      <c r="F204" s="194" t="s">
        <v>73</v>
      </c>
      <c r="G204" s="194"/>
      <c r="H204" s="322"/>
      <c r="I204" s="194"/>
      <c r="J204" s="183"/>
    </row>
    <row r="205" spans="3:12" ht="8.25" customHeight="1">
      <c r="C205" s="199"/>
      <c r="D205" s="320"/>
      <c r="E205" s="320"/>
      <c r="F205" s="320"/>
      <c r="G205" s="320"/>
      <c r="H205" s="320"/>
      <c r="I205" s="325"/>
      <c r="J205" s="186"/>
    </row>
    <row r="206" spans="3:12" ht="55.5" customHeight="1">
      <c r="C206" s="181" t="s">
        <v>93</v>
      </c>
      <c r="D206" s="536" t="str">
        <f>VLOOKUP($C206,Orçamento!D:P,4,0)</f>
        <v>Estrutura metalica em tesouras ou trelicas, vao livre de 25m, fornecimento e montagem, não sendo considerada as colunas, os fechamentos metalicos, os serviços gerais em alvenaria e concreto, as telhas de cobertura e a pintura de acabamento</v>
      </c>
      <c r="E206" s="536"/>
      <c r="F206" s="536"/>
      <c r="G206" s="536"/>
      <c r="H206" s="536"/>
      <c r="I206" s="181">
        <f>VLOOKUP($C206,Orçamento!D:P,8,0)</f>
        <v>0</v>
      </c>
      <c r="J206" s="143">
        <f>E210</f>
        <v>5600</v>
      </c>
    </row>
    <row r="207" spans="3:12" ht="11.25" customHeight="1">
      <c r="C207" s="198"/>
      <c r="D207" s="328"/>
      <c r="E207" s="328"/>
      <c r="F207" s="328"/>
      <c r="G207" s="328"/>
      <c r="H207" s="328"/>
      <c r="I207" s="329"/>
      <c r="J207" s="184"/>
    </row>
    <row r="208" spans="3:12" ht="18.75" customHeight="1">
      <c r="C208" s="326"/>
      <c r="D208" s="194" t="s">
        <v>86</v>
      </c>
      <c r="E208" s="322">
        <v>112</v>
      </c>
      <c r="F208" s="194"/>
      <c r="G208" s="194"/>
      <c r="H208" s="194"/>
      <c r="I208" s="324"/>
      <c r="J208" s="183"/>
    </row>
    <row r="209" spans="3:10" ht="18.75" customHeight="1">
      <c r="C209" s="326"/>
      <c r="D209" s="194" t="s">
        <v>87</v>
      </c>
      <c r="E209" s="322">
        <v>50</v>
      </c>
      <c r="F209" s="194"/>
      <c r="G209" s="194"/>
      <c r="H209" s="194"/>
      <c r="I209" s="324"/>
      <c r="J209" s="183"/>
    </row>
    <row r="210" spans="3:10" ht="18.75" customHeight="1">
      <c r="C210" s="326"/>
      <c r="D210" s="194" t="s">
        <v>0</v>
      </c>
      <c r="E210" s="195">
        <f>E208*E209</f>
        <v>5600</v>
      </c>
      <c r="F210" s="194"/>
      <c r="G210" s="194"/>
      <c r="H210" s="194"/>
      <c r="I210" s="324"/>
      <c r="J210" s="183"/>
    </row>
    <row r="211" spans="3:10" ht="18.75" customHeight="1">
      <c r="C211" s="199"/>
      <c r="D211" s="320"/>
      <c r="E211" s="323"/>
      <c r="F211" s="320"/>
      <c r="G211" s="320"/>
      <c r="H211" s="320"/>
      <c r="I211" s="325"/>
      <c r="J211" s="186"/>
    </row>
    <row r="212" spans="3:10" ht="32.25" customHeight="1">
      <c r="C212" s="176" t="s">
        <v>94</v>
      </c>
      <c r="D212" s="536" t="str">
        <f>VLOOKUP($C212,Orçamento!D:P,4,0)</f>
        <v>Pintura a oleo brilhante sobre superfície metálica, uma demão, incluso uma demão de fundo anticorrosivo</v>
      </c>
      <c r="E212" s="536"/>
      <c r="F212" s="536"/>
      <c r="G212" s="536"/>
      <c r="H212" s="536"/>
      <c r="I212" s="181">
        <f>VLOOKUP($C212,Orçamento!D:P,8,0)</f>
        <v>0</v>
      </c>
      <c r="J212" s="144">
        <f>E218</f>
        <v>9462.56</v>
      </c>
    </row>
    <row r="213" spans="3:10" ht="6.75" customHeight="1">
      <c r="C213" s="198"/>
      <c r="D213" s="328"/>
      <c r="E213" s="328"/>
      <c r="F213" s="328"/>
      <c r="G213" s="328"/>
      <c r="H213" s="328"/>
      <c r="I213" s="329"/>
      <c r="J213" s="184"/>
    </row>
    <row r="214" spans="3:10" ht="18.75" customHeight="1">
      <c r="C214" s="326"/>
      <c r="D214" s="194" t="s">
        <v>63</v>
      </c>
      <c r="E214" s="322">
        <f>J206</f>
        <v>5600</v>
      </c>
      <c r="F214" s="194"/>
      <c r="G214" s="194"/>
      <c r="H214" s="322"/>
      <c r="I214" s="324"/>
      <c r="J214" s="183"/>
    </row>
    <row r="215" spans="3:10" ht="36" customHeight="1">
      <c r="C215" s="326"/>
      <c r="D215" s="194" t="s">
        <v>90</v>
      </c>
      <c r="E215" s="322">
        <f>300*2</f>
        <v>600</v>
      </c>
      <c r="F215" s="194"/>
      <c r="G215" s="194"/>
      <c r="H215" s="322"/>
      <c r="I215" s="324"/>
      <c r="J215" s="183"/>
    </row>
    <row r="216" spans="3:10" ht="32.25" customHeight="1">
      <c r="C216" s="326"/>
      <c r="D216" s="194" t="s">
        <v>123</v>
      </c>
      <c r="E216" s="322">
        <f>(6*36*1.48)+(10*18*1.48)+(8*12*1.48)</f>
        <v>728.15999999999985</v>
      </c>
      <c r="F216" s="194"/>
      <c r="G216" s="194"/>
      <c r="H216" s="322"/>
      <c r="I216" s="324"/>
      <c r="J216" s="183"/>
    </row>
    <row r="217" spans="3:10" ht="18.75" customHeight="1">
      <c r="C217" s="326"/>
      <c r="D217" s="194" t="s">
        <v>128</v>
      </c>
      <c r="E217" s="322">
        <f>1.6*44*18*2</f>
        <v>2534.4</v>
      </c>
      <c r="F217" s="194"/>
      <c r="G217" s="194"/>
      <c r="H217" s="322"/>
      <c r="I217" s="324"/>
      <c r="J217" s="183"/>
    </row>
    <row r="218" spans="3:10" ht="32.25" customHeight="1">
      <c r="C218" s="326"/>
      <c r="D218" s="194" t="s">
        <v>0</v>
      </c>
      <c r="E218" s="195">
        <f>E214+E215+E216+E217</f>
        <v>9462.56</v>
      </c>
      <c r="F218" s="194"/>
      <c r="G218" s="194"/>
      <c r="H218" s="322"/>
      <c r="I218" s="324"/>
      <c r="J218" s="183"/>
    </row>
    <row r="219" spans="3:10" ht="9.75" customHeight="1">
      <c r="C219" s="326"/>
      <c r="D219" s="194"/>
      <c r="E219" s="194"/>
      <c r="F219" s="194"/>
      <c r="G219" s="194"/>
      <c r="H219" s="194"/>
      <c r="I219" s="324"/>
      <c r="J219" s="183"/>
    </row>
    <row r="220" spans="3:10" ht="34.5" customHeight="1">
      <c r="C220" s="176" t="s">
        <v>95</v>
      </c>
      <c r="D220" s="534" t="str">
        <f>VLOOKUP($C220,Orçamento!D:P,4,0)</f>
        <v>Cobertura com telha chapa aço zincado, ondulada, esp-0,5mm</v>
      </c>
      <c r="E220" s="534"/>
      <c r="F220" s="534"/>
      <c r="G220" s="534"/>
      <c r="H220" s="534"/>
      <c r="I220" s="176">
        <f>VLOOKUP($C220,Orçamento!D:P,8,0)</f>
        <v>0</v>
      </c>
      <c r="J220" s="145">
        <f>E224</f>
        <v>6200</v>
      </c>
    </row>
    <row r="221" spans="3:10" ht="13.5" customHeight="1">
      <c r="C221" s="198"/>
      <c r="D221" s="328"/>
      <c r="E221" s="328"/>
      <c r="F221" s="328"/>
      <c r="G221" s="328"/>
      <c r="H221" s="328"/>
      <c r="I221" s="329"/>
      <c r="J221" s="184"/>
    </row>
    <row r="222" spans="3:10" ht="18.75" customHeight="1">
      <c r="C222" s="326"/>
      <c r="D222" s="194" t="s">
        <v>63</v>
      </c>
      <c r="E222" s="322">
        <v>5600</v>
      </c>
      <c r="F222" s="194"/>
      <c r="G222" s="194"/>
      <c r="H222" s="322"/>
      <c r="I222" s="324"/>
      <c r="J222" s="183"/>
    </row>
    <row r="223" spans="3:10" ht="36" customHeight="1">
      <c r="C223" s="326"/>
      <c r="D223" s="194" t="s">
        <v>90</v>
      </c>
      <c r="E223" s="322">
        <f>300*2</f>
        <v>600</v>
      </c>
      <c r="F223" s="194"/>
      <c r="G223" s="194"/>
      <c r="H223" s="322"/>
      <c r="I223" s="324"/>
      <c r="J223" s="183"/>
    </row>
    <row r="224" spans="3:10" ht="32.25" customHeight="1">
      <c r="C224" s="326"/>
      <c r="D224" s="194" t="s">
        <v>0</v>
      </c>
      <c r="E224" s="195">
        <f>E222+E223</f>
        <v>6200</v>
      </c>
      <c r="F224" s="194"/>
      <c r="G224" s="194"/>
      <c r="H224" s="322"/>
      <c r="I224" s="324"/>
      <c r="J224" s="183"/>
    </row>
    <row r="225" spans="3:17" ht="9.75" customHeight="1">
      <c r="C225" s="326"/>
      <c r="D225" s="194"/>
      <c r="E225" s="194"/>
      <c r="F225" s="194"/>
      <c r="G225" s="194"/>
      <c r="H225" s="194"/>
      <c r="I225" s="324"/>
      <c r="J225" s="183"/>
    </row>
    <row r="226" spans="3:17" ht="25.5" customHeight="1">
      <c r="C226" s="176" t="s">
        <v>96</v>
      </c>
      <c r="D226" s="534" t="str">
        <f>VLOOKUP($C226,Orçamento!D:P,4,0)</f>
        <v>Cumeeira de alumínio, perfil ondulado</v>
      </c>
      <c r="E226" s="534"/>
      <c r="F226" s="534"/>
      <c r="G226" s="534"/>
      <c r="H226" s="534"/>
      <c r="I226" s="176">
        <f>VLOOKUP($C226,Orçamento!D:P,8,0)</f>
        <v>0</v>
      </c>
      <c r="J226" s="145">
        <v>106</v>
      </c>
    </row>
    <row r="227" spans="3:17" ht="25.5" customHeight="1">
      <c r="C227" s="176" t="s">
        <v>97</v>
      </c>
      <c r="D227" s="534" t="str">
        <f>VLOOKUP($C227,Orçamento!D:P,4,0)</f>
        <v>Calha chapa galvanizada num 24 l = 50cm</v>
      </c>
      <c r="E227" s="534"/>
      <c r="F227" s="534"/>
      <c r="G227" s="534"/>
      <c r="H227" s="534"/>
      <c r="I227" s="176">
        <f>VLOOKUP($C227,Orçamento!D:P,8,0)</f>
        <v>0</v>
      </c>
      <c r="J227" s="145">
        <f>J226*2</f>
        <v>212</v>
      </c>
    </row>
    <row r="228" spans="3:17" s="140" customFormat="1" ht="25.5" customHeight="1">
      <c r="C228" s="176" t="s">
        <v>98</v>
      </c>
      <c r="D228" s="534" t="str">
        <f>VLOOKUP($C228,Orçamento!D:P,4,0)</f>
        <v>Tubo pvc branco rosqueável Ø 4"</v>
      </c>
      <c r="E228" s="534"/>
      <c r="F228" s="534"/>
      <c r="G228" s="534"/>
      <c r="H228" s="534"/>
      <c r="I228" s="176">
        <f>VLOOKUP($C228,Orçamento!D:P,8,0)</f>
        <v>0</v>
      </c>
      <c r="J228" s="145">
        <f>E232</f>
        <v>395</v>
      </c>
      <c r="K228" s="141"/>
      <c r="M228" s="142"/>
      <c r="N228" s="142"/>
      <c r="O228" s="142"/>
      <c r="P228" s="142"/>
      <c r="Q228" s="142"/>
    </row>
    <row r="229" spans="3:17" ht="13.5" customHeight="1">
      <c r="C229" s="198"/>
      <c r="D229" s="328"/>
      <c r="E229" s="328"/>
      <c r="F229" s="328"/>
      <c r="G229" s="328"/>
      <c r="H229" s="328"/>
      <c r="I229" s="334"/>
      <c r="J229" s="184"/>
    </row>
    <row r="230" spans="3:17" ht="18.75" customHeight="1">
      <c r="C230" s="330"/>
      <c r="D230" s="194" t="s">
        <v>161</v>
      </c>
      <c r="E230" s="332">
        <v>20</v>
      </c>
      <c r="F230" s="194"/>
      <c r="G230" s="194"/>
      <c r="H230" s="332"/>
      <c r="I230" s="331"/>
      <c r="J230" s="183"/>
    </row>
    <row r="231" spans="3:17" ht="36" customHeight="1">
      <c r="C231" s="330"/>
      <c r="D231" s="194" t="s">
        <v>86</v>
      </c>
      <c r="E231" s="332">
        <v>19.75</v>
      </c>
      <c r="F231" s="194"/>
      <c r="G231" s="194"/>
      <c r="H231" s="332"/>
      <c r="I231" s="331"/>
      <c r="J231" s="183"/>
    </row>
    <row r="232" spans="3:17" ht="32.25" customHeight="1">
      <c r="C232" s="330"/>
      <c r="D232" s="194" t="s">
        <v>0</v>
      </c>
      <c r="E232" s="195">
        <f>E230*E231</f>
        <v>395</v>
      </c>
      <c r="F232" s="194"/>
      <c r="G232" s="194"/>
      <c r="H232" s="332"/>
      <c r="I232" s="331"/>
      <c r="J232" s="183"/>
    </row>
    <row r="233" spans="3:17" ht="9.75" customHeight="1">
      <c r="C233" s="330"/>
      <c r="D233" s="194"/>
      <c r="E233" s="194"/>
      <c r="F233" s="194"/>
      <c r="G233" s="194"/>
      <c r="H233" s="194"/>
      <c r="I233" s="331"/>
      <c r="J233" s="183"/>
    </row>
    <row r="234" spans="3:17" s="140" customFormat="1" ht="40.5" customHeight="1">
      <c r="C234" s="176" t="s">
        <v>164</v>
      </c>
      <c r="D234" s="534" t="str">
        <f>VLOOKUP($C234,Orçamento!D:P,4,0)</f>
        <v>Joelho 90 graus, PVC, serie r, água pluvial, dn 100 mm, junta elástica, fornecido e instalado em ramal de encaminhamento.</v>
      </c>
      <c r="E234" s="534"/>
      <c r="F234" s="534"/>
      <c r="G234" s="534"/>
      <c r="H234" s="534"/>
      <c r="I234" s="176">
        <f>VLOOKUP($C234,Orçamento!D:P,8,0)</f>
        <v>0</v>
      </c>
      <c r="J234" s="145">
        <f>E238</f>
        <v>100</v>
      </c>
      <c r="K234" s="141"/>
      <c r="M234" s="142"/>
      <c r="N234" s="142"/>
      <c r="O234" s="142"/>
      <c r="P234" s="142"/>
      <c r="Q234" s="142"/>
    </row>
    <row r="235" spans="3:17" ht="13.5" customHeight="1">
      <c r="C235" s="198"/>
      <c r="D235" s="328"/>
      <c r="E235" s="328"/>
      <c r="F235" s="328"/>
      <c r="G235" s="328"/>
      <c r="H235" s="328"/>
      <c r="I235" s="334"/>
      <c r="J235" s="184"/>
    </row>
    <row r="236" spans="3:17" ht="18.75" customHeight="1">
      <c r="C236" s="330"/>
      <c r="D236" s="194" t="s">
        <v>161</v>
      </c>
      <c r="E236" s="332">
        <v>20</v>
      </c>
      <c r="F236" s="194"/>
      <c r="G236" s="194"/>
      <c r="H236" s="332"/>
      <c r="I236" s="331"/>
      <c r="J236" s="183"/>
    </row>
    <row r="237" spans="3:17" ht="36" customHeight="1">
      <c r="C237" s="330"/>
      <c r="D237" s="194" t="s">
        <v>84</v>
      </c>
      <c r="E237" s="332">
        <v>5</v>
      </c>
      <c r="F237" s="194"/>
      <c r="G237" s="194"/>
      <c r="H237" s="332"/>
      <c r="I237" s="331"/>
      <c r="J237" s="183"/>
    </row>
    <row r="238" spans="3:17" ht="32.25" customHeight="1">
      <c r="C238" s="330"/>
      <c r="D238" s="194" t="s">
        <v>0</v>
      </c>
      <c r="E238" s="195">
        <f>E236*E237</f>
        <v>100</v>
      </c>
      <c r="F238" s="194"/>
      <c r="G238" s="194"/>
      <c r="H238" s="332"/>
      <c r="I238" s="331"/>
      <c r="J238" s="183"/>
    </row>
    <row r="239" spans="3:17" ht="9.75" customHeight="1">
      <c r="C239" s="330"/>
      <c r="D239" s="194"/>
      <c r="E239" s="194"/>
      <c r="F239" s="194"/>
      <c r="G239" s="194"/>
      <c r="H239" s="194"/>
      <c r="I239" s="331"/>
      <c r="J239" s="183"/>
    </row>
    <row r="240" spans="3:17" s="140" customFormat="1" ht="40.5" customHeight="1">
      <c r="C240" s="176" t="s">
        <v>248</v>
      </c>
      <c r="D240" s="534" t="str">
        <f>VLOOKUP($C240,Orçamento!D:P,4,0)</f>
        <v>Chumbador de aço 1"x500mm c/rosca e porca</v>
      </c>
      <c r="E240" s="534"/>
      <c r="F240" s="534"/>
      <c r="G240" s="534"/>
      <c r="H240" s="534"/>
      <c r="I240" s="176">
        <f>VLOOKUP($C240,Orçamento!D:P,8,0)</f>
        <v>0</v>
      </c>
      <c r="J240" s="145">
        <f>E243</f>
        <v>787.64400000000001</v>
      </c>
      <c r="K240" s="141"/>
      <c r="M240" s="142"/>
      <c r="N240" s="142"/>
      <c r="O240" s="142"/>
      <c r="P240" s="142"/>
      <c r="Q240" s="142"/>
    </row>
    <row r="241" spans="3:19" ht="25.5" customHeight="1">
      <c r="C241" s="330"/>
      <c r="D241" s="333" t="s">
        <v>83</v>
      </c>
      <c r="E241" s="197">
        <f>(6*0.5)*66</f>
        <v>198</v>
      </c>
      <c r="F241" s="194" t="s">
        <v>67</v>
      </c>
      <c r="G241" s="194"/>
      <c r="H241" s="332"/>
      <c r="I241" s="194"/>
      <c r="J241" s="183"/>
      <c r="M241" s="129"/>
      <c r="N241" s="129"/>
      <c r="O241" s="129"/>
      <c r="P241" s="129"/>
      <c r="Q241" s="129"/>
      <c r="R241" s="129"/>
      <c r="S241" s="129"/>
    </row>
    <row r="242" spans="3:19" ht="28.5" customHeight="1">
      <c r="C242" s="330"/>
      <c r="D242" s="194" t="s">
        <v>114</v>
      </c>
      <c r="E242" s="332">
        <v>3.9780000000000002</v>
      </c>
      <c r="F242" s="194" t="s">
        <v>116</v>
      </c>
      <c r="G242" s="194" t="s">
        <v>115</v>
      </c>
      <c r="H242" s="332"/>
      <c r="I242" s="194"/>
      <c r="J242" s="183"/>
      <c r="M242" s="129"/>
      <c r="N242" s="129"/>
      <c r="O242" s="129"/>
      <c r="P242" s="129"/>
      <c r="Q242" s="129"/>
      <c r="R242" s="129"/>
      <c r="S242" s="129"/>
    </row>
    <row r="243" spans="3:19" ht="28.5" customHeight="1">
      <c r="C243" s="330"/>
      <c r="D243" s="194"/>
      <c r="E243" s="195">
        <f>E241*E242</f>
        <v>787.64400000000001</v>
      </c>
      <c r="F243" s="194" t="s">
        <v>106</v>
      </c>
      <c r="G243" s="194"/>
      <c r="H243" s="332"/>
      <c r="I243" s="194"/>
      <c r="J243" s="183"/>
      <c r="M243" s="129"/>
      <c r="N243" s="129"/>
      <c r="O243" s="129"/>
      <c r="P243" s="129"/>
      <c r="Q243" s="129"/>
      <c r="R243" s="129"/>
      <c r="S243" s="129"/>
    </row>
    <row r="244" spans="3:19" ht="28.5" customHeight="1">
      <c r="C244" s="176" t="s">
        <v>249</v>
      </c>
      <c r="D244" s="534" t="str">
        <f>VLOOKUP($C244,Orçamento!D:P,4,0)</f>
        <v>Chapa de aço grossa preta 1/2"(12,70mm) 99,593kg/m²</v>
      </c>
      <c r="E244" s="534"/>
      <c r="F244" s="534"/>
      <c r="G244" s="534"/>
      <c r="H244" s="534"/>
      <c r="I244" s="176">
        <f>VLOOKUP($C244,Orçamento!D:P,8,0)</f>
        <v>0</v>
      </c>
      <c r="J244" s="145">
        <f>E249</f>
        <v>2004.80709</v>
      </c>
      <c r="M244" s="129"/>
      <c r="N244" s="129"/>
      <c r="O244" s="129"/>
      <c r="P244" s="129"/>
      <c r="Q244" s="129"/>
      <c r="R244" s="129"/>
      <c r="S244" s="129"/>
    </row>
    <row r="245" spans="3:19" ht="35.25" customHeight="1">
      <c r="C245" s="326"/>
      <c r="D245" s="539" t="s">
        <v>120</v>
      </c>
      <c r="E245" s="539"/>
      <c r="F245" s="194"/>
      <c r="G245" s="194"/>
      <c r="H245" s="322"/>
      <c r="I245" s="194"/>
      <c r="J245" s="183"/>
      <c r="M245" s="129"/>
      <c r="N245" s="129"/>
      <c r="O245" s="129"/>
      <c r="P245" s="129"/>
      <c r="Q245" s="129"/>
      <c r="R245" s="129"/>
      <c r="S245" s="129"/>
    </row>
    <row r="246" spans="3:19" ht="20.25" customHeight="1">
      <c r="C246" s="326"/>
      <c r="D246" s="194" t="s">
        <v>110</v>
      </c>
      <c r="E246" s="322">
        <f>0.5*0.61</f>
        <v>0.30499999999999999</v>
      </c>
      <c r="F246" s="194" t="s">
        <v>64</v>
      </c>
      <c r="G246" s="194"/>
      <c r="H246" s="322"/>
      <c r="I246" s="194"/>
      <c r="J246" s="183"/>
      <c r="M246" s="129"/>
      <c r="N246" s="129"/>
      <c r="O246" s="129"/>
      <c r="P246" s="129"/>
      <c r="Q246" s="129"/>
      <c r="R246" s="129"/>
      <c r="S246" s="129"/>
    </row>
    <row r="247" spans="3:19" ht="20.25" customHeight="1">
      <c r="C247" s="326"/>
      <c r="D247" s="194" t="s">
        <v>121</v>
      </c>
      <c r="E247" s="251">
        <v>66</v>
      </c>
      <c r="F247" s="194"/>
      <c r="G247" s="194"/>
      <c r="H247" s="322"/>
      <c r="I247" s="194"/>
      <c r="J247" s="183"/>
      <c r="M247" s="129"/>
      <c r="N247" s="129"/>
      <c r="O247" s="129"/>
      <c r="P247" s="129"/>
      <c r="Q247" s="129"/>
      <c r="R247" s="129"/>
      <c r="S247" s="129"/>
    </row>
    <row r="248" spans="3:19" ht="28.5" customHeight="1">
      <c r="C248" s="326"/>
      <c r="D248" s="194" t="s">
        <v>112</v>
      </c>
      <c r="E248" s="322">
        <v>99.593000000000004</v>
      </c>
      <c r="F248" s="194" t="s">
        <v>106</v>
      </c>
      <c r="G248" s="194"/>
      <c r="H248" s="322"/>
      <c r="I248" s="194"/>
      <c r="J248" s="183"/>
      <c r="M248" s="129"/>
      <c r="N248" s="129"/>
      <c r="O248" s="129"/>
      <c r="P248" s="129"/>
      <c r="Q248" s="129"/>
      <c r="R248" s="129"/>
      <c r="S248" s="129"/>
    </row>
    <row r="249" spans="3:19" ht="28.5" customHeight="1" thickBot="1">
      <c r="C249" s="326"/>
      <c r="D249" s="194"/>
      <c r="E249" s="195">
        <f>E246*E247*E248</f>
        <v>2004.80709</v>
      </c>
      <c r="F249" s="194" t="s">
        <v>106</v>
      </c>
      <c r="G249" s="194"/>
      <c r="H249" s="322"/>
      <c r="I249" s="194"/>
      <c r="J249" s="183"/>
      <c r="M249" s="129"/>
      <c r="N249" s="129"/>
      <c r="O249" s="129"/>
      <c r="P249" s="129"/>
      <c r="Q249" s="129"/>
      <c r="R249" s="129"/>
      <c r="S249" s="129"/>
    </row>
    <row r="250" spans="3:19" s="140" customFormat="1" ht="24.95" customHeight="1" thickBot="1">
      <c r="C250" s="335">
        <v>5</v>
      </c>
      <c r="D250" s="535" t="str">
        <f>VLOOKUP($C250,Orçamento!D:P,4,0)</f>
        <v>RAMPAS DE ACESSO</v>
      </c>
      <c r="E250" s="535"/>
      <c r="F250" s="535"/>
      <c r="G250" s="535"/>
      <c r="H250" s="535"/>
      <c r="I250" s="203"/>
      <c r="J250" s="271"/>
      <c r="K250" s="141"/>
      <c r="M250" s="142"/>
      <c r="N250" s="142"/>
      <c r="O250" s="142"/>
      <c r="P250" s="142"/>
      <c r="Q250" s="142"/>
    </row>
    <row r="251" spans="3:19" ht="31.5" customHeight="1">
      <c r="C251" s="242" t="s">
        <v>92</v>
      </c>
      <c r="D251" s="600" t="str">
        <f>VLOOKUP($C251,Orçamento!D:P,4,0)</f>
        <v>FORMA PARA ESTRUTURAS DE CONCRETO (PILAR, VIGA E LAJE) EM CHAPA DE MADEIRA COMPENSADA RESINADA, DE 1,10 X 2,20, ESPESSURA = 12 MM, 02 UTILIZACOES. (FABRICACAO, MONTAGEM E DESMONTAGEM)</v>
      </c>
      <c r="E251" s="600"/>
      <c r="F251" s="600"/>
      <c r="G251" s="600"/>
      <c r="H251" s="600"/>
      <c r="I251" s="445" t="str">
        <f>Orçamento!L64</f>
        <v>m²</v>
      </c>
      <c r="J251" s="459">
        <f>H280</f>
        <v>206.58</v>
      </c>
      <c r="L251" s="216"/>
      <c r="M251" s="129"/>
      <c r="N251" s="129"/>
      <c r="O251" s="129"/>
      <c r="P251" s="129"/>
      <c r="Q251" s="129"/>
      <c r="R251" s="129"/>
      <c r="S251" s="129"/>
    </row>
    <row r="252" spans="3:19" ht="31.5" customHeight="1">
      <c r="C252" s="436"/>
      <c r="D252" s="194" t="s">
        <v>182</v>
      </c>
      <c r="E252" s="437" t="s">
        <v>201</v>
      </c>
      <c r="F252" s="437" t="s">
        <v>200</v>
      </c>
      <c r="G252" s="437" t="s">
        <v>183</v>
      </c>
      <c r="H252" s="437"/>
      <c r="I252" s="194"/>
      <c r="J252" s="183"/>
      <c r="L252" s="216"/>
      <c r="M252" s="129"/>
      <c r="N252" s="129"/>
      <c r="O252" s="129"/>
      <c r="P252" s="129"/>
      <c r="Q252" s="129"/>
      <c r="R252" s="129"/>
      <c r="S252" s="129"/>
    </row>
    <row r="253" spans="3:19" ht="31.5" customHeight="1">
      <c r="C253" s="436"/>
      <c r="D253" s="194" t="s">
        <v>86</v>
      </c>
      <c r="E253" s="437">
        <v>8.4</v>
      </c>
      <c r="F253" s="434">
        <v>2.4</v>
      </c>
      <c r="G253" s="434">
        <v>9.9</v>
      </c>
      <c r="H253" s="194" t="s">
        <v>67</v>
      </c>
      <c r="J253" s="183"/>
      <c r="L253" s="216"/>
      <c r="M253" s="129"/>
      <c r="N253" s="129"/>
      <c r="O253" s="129"/>
      <c r="P253" s="129"/>
      <c r="Q253" s="129"/>
      <c r="R253" s="129"/>
      <c r="S253" s="129"/>
    </row>
    <row r="254" spans="3:19" ht="31.5" customHeight="1">
      <c r="C254" s="436"/>
      <c r="D254" s="194" t="s">
        <v>87</v>
      </c>
      <c r="E254" s="437">
        <v>0.15</v>
      </c>
      <c r="F254" s="434">
        <v>0.15</v>
      </c>
      <c r="G254" s="434">
        <v>0.15</v>
      </c>
      <c r="H254" s="194" t="s">
        <v>67</v>
      </c>
      <c r="J254" s="183"/>
      <c r="L254" s="216"/>
      <c r="M254" s="129"/>
      <c r="N254" s="129"/>
      <c r="O254" s="129"/>
      <c r="P254" s="129"/>
      <c r="Q254" s="129"/>
      <c r="R254" s="129"/>
      <c r="S254" s="129"/>
    </row>
    <row r="255" spans="3:19" ht="31.5" customHeight="1">
      <c r="C255" s="436"/>
      <c r="D255" s="194" t="s">
        <v>88</v>
      </c>
      <c r="E255" s="437">
        <v>0.3</v>
      </c>
      <c r="F255" s="437">
        <v>0.3</v>
      </c>
      <c r="G255" s="437">
        <v>0.3</v>
      </c>
      <c r="H255" s="194" t="s">
        <v>67</v>
      </c>
      <c r="J255" s="183"/>
      <c r="L255" s="216"/>
      <c r="M255" s="129"/>
      <c r="N255" s="129"/>
      <c r="O255" s="129"/>
      <c r="P255" s="129"/>
      <c r="Q255" s="129"/>
      <c r="R255" s="129"/>
      <c r="S255" s="129"/>
    </row>
    <row r="256" spans="3:19" ht="31.5" customHeight="1">
      <c r="C256" s="436"/>
      <c r="D256" s="194"/>
      <c r="E256" s="437"/>
      <c r="F256" s="194"/>
      <c r="G256" s="194"/>
      <c r="H256" s="194"/>
      <c r="J256" s="183"/>
      <c r="L256" s="216"/>
      <c r="M256" s="129"/>
      <c r="N256" s="129"/>
      <c r="O256" s="129"/>
      <c r="P256" s="129"/>
      <c r="Q256" s="129"/>
      <c r="R256" s="129"/>
      <c r="S256" s="129"/>
    </row>
    <row r="257" spans="3:19" ht="31.5" customHeight="1">
      <c r="C257" s="436"/>
      <c r="D257" s="194" t="s">
        <v>184</v>
      </c>
      <c r="E257" s="437">
        <f>E253*E254</f>
        <v>1.26</v>
      </c>
      <c r="F257" s="437">
        <f>F253*F254</f>
        <v>0.36</v>
      </c>
      <c r="G257" s="437">
        <f>G253*G254</f>
        <v>1.4850000000000001</v>
      </c>
      <c r="H257" s="194" t="s">
        <v>64</v>
      </c>
      <c r="J257" s="183"/>
      <c r="L257" s="216"/>
      <c r="M257" s="129"/>
      <c r="N257" s="129"/>
      <c r="O257" s="129"/>
      <c r="P257" s="129"/>
      <c r="Q257" s="129"/>
      <c r="R257" s="129"/>
      <c r="S257" s="129"/>
    </row>
    <row r="258" spans="3:19" ht="31.5" customHeight="1">
      <c r="C258" s="436"/>
      <c r="D258" s="194" t="s">
        <v>185</v>
      </c>
      <c r="E258" s="437">
        <f>E253*E255*2</f>
        <v>5.04</v>
      </c>
      <c r="F258" s="437">
        <f>F253*F255*2</f>
        <v>1.44</v>
      </c>
      <c r="G258" s="437">
        <f>G253*G255*2</f>
        <v>5.94</v>
      </c>
      <c r="H258" s="194" t="s">
        <v>64</v>
      </c>
      <c r="J258" s="183"/>
      <c r="L258" s="216"/>
      <c r="M258" s="129"/>
      <c r="N258" s="129"/>
      <c r="O258" s="129"/>
      <c r="P258" s="129"/>
      <c r="Q258" s="129"/>
      <c r="R258" s="129"/>
      <c r="S258" s="129"/>
    </row>
    <row r="259" spans="3:19" ht="31.5" customHeight="1">
      <c r="C259" s="436"/>
      <c r="D259" s="194"/>
      <c r="E259" s="437"/>
      <c r="F259" s="194"/>
      <c r="G259" s="194"/>
      <c r="H259" s="437"/>
      <c r="I259" s="194"/>
      <c r="J259" s="183"/>
      <c r="L259" s="216"/>
      <c r="M259" s="129"/>
      <c r="N259" s="129"/>
      <c r="O259" s="129"/>
      <c r="P259" s="129"/>
      <c r="Q259" s="129"/>
      <c r="R259" s="129"/>
      <c r="S259" s="129"/>
    </row>
    <row r="260" spans="3:19" ht="31.5" customHeight="1">
      <c r="C260" s="436"/>
      <c r="D260" s="194" t="s">
        <v>191</v>
      </c>
      <c r="E260" s="437"/>
      <c r="F260" s="437"/>
      <c r="G260" s="437"/>
      <c r="H260" s="437">
        <f>SUM(E257:G258)</f>
        <v>15.524999999999999</v>
      </c>
      <c r="I260" s="194" t="s">
        <v>64</v>
      </c>
      <c r="J260" s="183"/>
      <c r="L260" s="216"/>
      <c r="M260" s="129"/>
      <c r="N260" s="129"/>
      <c r="O260" s="129"/>
      <c r="P260" s="129"/>
      <c r="Q260" s="129"/>
      <c r="R260" s="129"/>
      <c r="S260" s="129"/>
    </row>
    <row r="261" spans="3:19" ht="31.5" customHeight="1">
      <c r="C261" s="436"/>
      <c r="D261" s="194"/>
      <c r="E261" s="437"/>
      <c r="F261" s="437"/>
      <c r="G261" s="437"/>
      <c r="H261" s="437"/>
      <c r="I261" s="194"/>
      <c r="J261" s="183"/>
      <c r="L261" s="216"/>
      <c r="M261" s="129"/>
      <c r="N261" s="129"/>
      <c r="O261" s="129"/>
      <c r="P261" s="129"/>
      <c r="Q261" s="129"/>
      <c r="R261" s="129"/>
      <c r="S261" s="129"/>
    </row>
    <row r="262" spans="3:19" ht="31.5" customHeight="1">
      <c r="C262" s="436"/>
      <c r="D262" s="194" t="s">
        <v>187</v>
      </c>
      <c r="E262" s="437" t="s">
        <v>188</v>
      </c>
      <c r="F262" s="437" t="s">
        <v>189</v>
      </c>
      <c r="G262" s="437" t="s">
        <v>190</v>
      </c>
      <c r="H262" s="437"/>
      <c r="I262" s="194"/>
      <c r="J262" s="183"/>
      <c r="L262" s="216"/>
      <c r="M262" s="129"/>
      <c r="N262" s="129"/>
      <c r="O262" s="129"/>
      <c r="P262" s="129"/>
      <c r="Q262" s="129"/>
      <c r="R262" s="129"/>
      <c r="S262" s="129"/>
    </row>
    <row r="263" spans="3:19" ht="31.5" customHeight="1">
      <c r="C263" s="436"/>
      <c r="D263" s="194" t="s">
        <v>86</v>
      </c>
      <c r="E263" s="434">
        <v>0.15</v>
      </c>
      <c r="F263" s="434">
        <v>0.15</v>
      </c>
      <c r="G263" s="434">
        <v>0.15</v>
      </c>
      <c r="H263" s="194" t="s">
        <v>67</v>
      </c>
      <c r="I263" s="434"/>
      <c r="J263" s="183"/>
      <c r="L263" s="216"/>
      <c r="M263" s="129"/>
      <c r="N263" s="129"/>
      <c r="O263" s="129"/>
      <c r="P263" s="129"/>
      <c r="Q263" s="129"/>
      <c r="R263" s="129"/>
      <c r="S263" s="129"/>
    </row>
    <row r="264" spans="3:19" ht="31.5" customHeight="1">
      <c r="C264" s="436"/>
      <c r="D264" s="194" t="s">
        <v>87</v>
      </c>
      <c r="E264" s="434">
        <v>0.15</v>
      </c>
      <c r="F264" s="434">
        <v>0.15</v>
      </c>
      <c r="G264" s="434">
        <v>0.15</v>
      </c>
      <c r="H264" s="194" t="s">
        <v>67</v>
      </c>
      <c r="I264" s="434"/>
      <c r="J264" s="183"/>
      <c r="L264" s="216"/>
      <c r="M264" s="129"/>
      <c r="N264" s="129"/>
      <c r="O264" s="129"/>
      <c r="P264" s="129"/>
      <c r="Q264" s="129"/>
      <c r="R264" s="129"/>
      <c r="S264" s="129"/>
    </row>
    <row r="265" spans="3:19" ht="31.5" customHeight="1">
      <c r="C265" s="436"/>
      <c r="D265" s="194" t="s">
        <v>88</v>
      </c>
      <c r="E265" s="434">
        <v>1.1499999999999999</v>
      </c>
      <c r="F265" s="434">
        <v>0.6</v>
      </c>
      <c r="G265" s="434">
        <v>0.4</v>
      </c>
      <c r="H265" s="194" t="s">
        <v>67</v>
      </c>
      <c r="I265" s="434"/>
      <c r="J265" s="183"/>
      <c r="L265" s="216"/>
      <c r="M265" s="129"/>
      <c r="N265" s="129"/>
      <c r="O265" s="129"/>
      <c r="P265" s="129"/>
      <c r="Q265" s="129"/>
      <c r="R265" s="129"/>
      <c r="S265" s="129"/>
    </row>
    <row r="266" spans="3:19" ht="31.5" customHeight="1">
      <c r="C266" s="436"/>
      <c r="D266" s="194" t="s">
        <v>84</v>
      </c>
      <c r="E266" s="434">
        <v>6</v>
      </c>
      <c r="F266" s="434">
        <v>5</v>
      </c>
      <c r="G266" s="434">
        <v>2</v>
      </c>
      <c r="H266" s="194" t="s">
        <v>67</v>
      </c>
      <c r="I266" s="434"/>
      <c r="J266" s="183"/>
      <c r="L266" s="216"/>
      <c r="M266" s="129"/>
      <c r="N266" s="129"/>
      <c r="O266" s="129"/>
      <c r="P266" s="129"/>
      <c r="Q266" s="129"/>
      <c r="R266" s="129"/>
      <c r="S266" s="129"/>
    </row>
    <row r="267" spans="3:19" ht="31.5" customHeight="1">
      <c r="C267" s="436"/>
      <c r="D267" s="194"/>
      <c r="E267" s="194"/>
      <c r="F267" s="194"/>
      <c r="G267" s="194"/>
      <c r="H267" s="194"/>
      <c r="I267" s="434"/>
      <c r="J267" s="183"/>
      <c r="L267" s="216"/>
      <c r="M267" s="129"/>
      <c r="N267" s="129"/>
      <c r="O267" s="129"/>
      <c r="P267" s="129"/>
      <c r="Q267" s="129"/>
      <c r="R267" s="129"/>
      <c r="S267" s="129"/>
    </row>
    <row r="268" spans="3:19" ht="31.5" customHeight="1">
      <c r="C268" s="436"/>
      <c r="D268" s="194" t="s">
        <v>185</v>
      </c>
      <c r="E268" s="437">
        <f>(E263*4)*E265*E266*2</f>
        <v>8.2799999999999994</v>
      </c>
      <c r="F268" s="437">
        <f>(F263*4)*F265*F266*2</f>
        <v>3.5999999999999996</v>
      </c>
      <c r="G268" s="437">
        <f>(G263*4)*G265*G266</f>
        <v>0.48</v>
      </c>
      <c r="H268" s="194" t="s">
        <v>64</v>
      </c>
      <c r="I268" s="434"/>
      <c r="J268" s="183"/>
      <c r="L268" s="216"/>
      <c r="M268" s="129"/>
      <c r="N268" s="129"/>
      <c r="O268" s="129"/>
      <c r="P268" s="129"/>
      <c r="Q268" s="129"/>
      <c r="R268" s="129"/>
      <c r="S268" s="129"/>
    </row>
    <row r="269" spans="3:19" ht="31.5" customHeight="1">
      <c r="C269" s="436"/>
      <c r="D269" s="194"/>
      <c r="E269" s="437"/>
      <c r="F269" s="194"/>
      <c r="G269" s="194"/>
      <c r="H269" s="194"/>
      <c r="I269" s="434"/>
      <c r="J269" s="183"/>
      <c r="L269" s="216"/>
      <c r="M269" s="129"/>
      <c r="N269" s="129"/>
      <c r="O269" s="129"/>
      <c r="P269" s="129"/>
      <c r="Q269" s="129"/>
      <c r="R269" s="129"/>
      <c r="S269" s="129"/>
    </row>
    <row r="270" spans="3:19" ht="31.5" customHeight="1">
      <c r="C270" s="436"/>
      <c r="D270" s="194" t="s">
        <v>192</v>
      </c>
      <c r="E270" s="437"/>
      <c r="F270" s="194"/>
      <c r="G270" s="194"/>
      <c r="H270" s="437">
        <f>SUM(E268:G268)</f>
        <v>12.36</v>
      </c>
      <c r="I270" s="194" t="s">
        <v>64</v>
      </c>
      <c r="J270" s="183"/>
      <c r="L270" s="216"/>
      <c r="M270" s="129"/>
      <c r="N270" s="129"/>
      <c r="O270" s="129"/>
      <c r="P270" s="129"/>
      <c r="Q270" s="129"/>
      <c r="R270" s="129"/>
      <c r="S270" s="129"/>
    </row>
    <row r="271" spans="3:19" ht="31.5" customHeight="1">
      <c r="C271" s="436"/>
      <c r="D271" s="194"/>
      <c r="E271" s="437"/>
      <c r="F271" s="194"/>
      <c r="G271" s="194"/>
      <c r="H271" s="194"/>
      <c r="I271" s="434"/>
      <c r="J271" s="183"/>
      <c r="L271" s="216"/>
      <c r="M271" s="129"/>
      <c r="N271" s="129"/>
      <c r="O271" s="129"/>
      <c r="P271" s="129"/>
      <c r="Q271" s="129"/>
      <c r="R271" s="129"/>
      <c r="S271" s="129"/>
    </row>
    <row r="272" spans="3:19" ht="31.5" customHeight="1">
      <c r="C272" s="436"/>
      <c r="D272" s="194" t="s">
        <v>193</v>
      </c>
      <c r="E272" s="437"/>
      <c r="F272" s="194"/>
      <c r="G272" s="194"/>
      <c r="H272" s="194"/>
      <c r="I272" s="434"/>
      <c r="J272" s="183"/>
      <c r="L272" s="216"/>
      <c r="M272" s="129"/>
      <c r="N272" s="129"/>
      <c r="O272" s="129"/>
      <c r="P272" s="129"/>
      <c r="Q272" s="129"/>
      <c r="R272" s="129"/>
      <c r="S272" s="129"/>
    </row>
    <row r="273" spans="3:19" ht="31.5" customHeight="1">
      <c r="C273" s="436"/>
      <c r="D273" s="194" t="s">
        <v>86</v>
      </c>
      <c r="E273" s="437">
        <v>9.9</v>
      </c>
      <c r="F273" s="194"/>
      <c r="G273" s="194"/>
      <c r="H273" s="194"/>
      <c r="I273" s="434"/>
      <c r="J273" s="183"/>
      <c r="L273" s="216"/>
      <c r="M273" s="129"/>
      <c r="N273" s="129"/>
      <c r="O273" s="129"/>
      <c r="P273" s="129"/>
      <c r="Q273" s="129"/>
      <c r="R273" s="129"/>
      <c r="S273" s="129"/>
    </row>
    <row r="274" spans="3:19" ht="31.5" customHeight="1">
      <c r="C274" s="436"/>
      <c r="D274" s="194" t="s">
        <v>87</v>
      </c>
      <c r="E274" s="437">
        <v>2.4</v>
      </c>
      <c r="F274" s="194"/>
      <c r="G274" s="194"/>
      <c r="H274" s="194"/>
      <c r="I274" s="434"/>
      <c r="J274" s="183"/>
      <c r="L274" s="216"/>
      <c r="M274" s="129"/>
      <c r="N274" s="129"/>
      <c r="O274" s="129"/>
      <c r="P274" s="129"/>
      <c r="Q274" s="129"/>
      <c r="R274" s="129"/>
      <c r="S274" s="129"/>
    </row>
    <row r="275" spans="3:19" ht="31.5" customHeight="1">
      <c r="C275" s="436"/>
      <c r="D275" s="194"/>
      <c r="E275" s="437"/>
      <c r="F275" s="194"/>
      <c r="G275" s="194"/>
      <c r="H275" s="194"/>
      <c r="I275" s="434"/>
      <c r="J275" s="183"/>
      <c r="L275" s="216"/>
      <c r="M275" s="129"/>
      <c r="N275" s="129"/>
      <c r="O275" s="129"/>
      <c r="P275" s="129"/>
      <c r="Q275" s="129"/>
      <c r="R275" s="129"/>
      <c r="S275" s="129"/>
    </row>
    <row r="276" spans="3:19" ht="31.5" customHeight="1">
      <c r="C276" s="436"/>
      <c r="D276" s="194" t="s">
        <v>194</v>
      </c>
      <c r="E276" s="437"/>
      <c r="F276" s="194"/>
      <c r="G276" s="194"/>
      <c r="H276" s="434">
        <f>E273*E274</f>
        <v>23.76</v>
      </c>
      <c r="I276" s="194" t="s">
        <v>64</v>
      </c>
      <c r="J276" s="183"/>
      <c r="L276" s="216"/>
      <c r="M276" s="129"/>
      <c r="N276" s="129"/>
      <c r="O276" s="129"/>
      <c r="P276" s="129"/>
      <c r="Q276" s="129"/>
      <c r="R276" s="129"/>
      <c r="S276" s="129"/>
    </row>
    <row r="277" spans="3:19" ht="31.5" customHeight="1">
      <c r="C277" s="436"/>
      <c r="D277" s="194"/>
      <c r="E277" s="437"/>
      <c r="F277" s="194"/>
      <c r="G277" s="194"/>
      <c r="H277" s="434"/>
      <c r="I277" s="194"/>
      <c r="J277" s="183"/>
      <c r="L277" s="216"/>
      <c r="M277" s="129"/>
      <c r="N277" s="129"/>
      <c r="O277" s="129"/>
      <c r="P277" s="129"/>
      <c r="Q277" s="129"/>
      <c r="R277" s="129"/>
      <c r="S277" s="129"/>
    </row>
    <row r="278" spans="3:19" ht="16.5" customHeight="1">
      <c r="C278" s="436"/>
      <c r="D278" s="194"/>
      <c r="E278" s="437"/>
      <c r="F278" s="194"/>
      <c r="G278" s="194" t="s">
        <v>186</v>
      </c>
      <c r="H278" s="437">
        <f>H276+H270+H260</f>
        <v>51.645000000000003</v>
      </c>
      <c r="I278" s="194" t="s">
        <v>64</v>
      </c>
      <c r="J278" s="183"/>
      <c r="M278" s="129"/>
      <c r="N278" s="129"/>
      <c r="O278" s="129"/>
      <c r="P278" s="129"/>
      <c r="Q278" s="129"/>
      <c r="R278" s="129"/>
      <c r="S278" s="129"/>
    </row>
    <row r="279" spans="3:19" ht="19.5" customHeight="1">
      <c r="C279" s="436"/>
      <c r="D279" s="194"/>
      <c r="E279" s="437"/>
      <c r="F279" s="194"/>
      <c r="G279" s="433" t="s">
        <v>217</v>
      </c>
      <c r="H279" s="437">
        <v>4</v>
      </c>
      <c r="I279" s="194" t="s">
        <v>218</v>
      </c>
      <c r="J279" s="183"/>
      <c r="M279" s="129"/>
      <c r="N279" s="129"/>
      <c r="O279" s="129"/>
      <c r="P279" s="129"/>
      <c r="Q279" s="129"/>
      <c r="R279" s="129"/>
      <c r="S279" s="129"/>
    </row>
    <row r="280" spans="3:19" ht="28.5" customHeight="1">
      <c r="C280" s="199"/>
      <c r="D280" s="194"/>
      <c r="E280" s="437"/>
      <c r="F280" s="194"/>
      <c r="G280" s="194" t="s">
        <v>195</v>
      </c>
      <c r="H280" s="190">
        <f>H278*H279</f>
        <v>206.58</v>
      </c>
      <c r="I280" s="194" t="s">
        <v>64</v>
      </c>
      <c r="J280" s="183"/>
      <c r="M280" s="129"/>
      <c r="N280" s="129"/>
      <c r="O280" s="129"/>
      <c r="P280" s="129"/>
      <c r="Q280" s="129"/>
      <c r="R280" s="129"/>
      <c r="S280" s="129"/>
    </row>
    <row r="281" spans="3:19" ht="33" customHeight="1">
      <c r="C281" s="176" t="s">
        <v>99</v>
      </c>
      <c r="D281" s="546" t="str">
        <f>VLOOKUP($C281,Orçamento!D:P,4,0)</f>
        <v>ARMACAO ACO CA-50, DIAM. 6,3 (1/4) À 12,5MM(1/2) -FORNECIMENTO/ CORTE(PERDA DE 10%) / DOBRA / COLOCAÇÃO.</v>
      </c>
      <c r="E281" s="547"/>
      <c r="F281" s="547"/>
      <c r="G281" s="547"/>
      <c r="H281" s="548"/>
      <c r="I281" s="444" t="str">
        <f>Orçamento!L65</f>
        <v>kg</v>
      </c>
      <c r="J281" s="145">
        <f>E286</f>
        <v>726.30000000000007</v>
      </c>
      <c r="M281" s="129"/>
      <c r="N281" s="129"/>
      <c r="O281" s="129"/>
      <c r="P281" s="129"/>
      <c r="Q281" s="129"/>
      <c r="R281" s="129"/>
      <c r="S281" s="129"/>
    </row>
    <row r="282" spans="3:19" ht="12" customHeight="1">
      <c r="C282" s="198"/>
      <c r="D282" s="440"/>
      <c r="E282" s="440"/>
      <c r="F282" s="440"/>
      <c r="G282" s="440"/>
      <c r="H282" s="440"/>
      <c r="I282" s="439"/>
      <c r="J282" s="184"/>
      <c r="M282" s="129"/>
      <c r="N282" s="129"/>
      <c r="O282" s="129"/>
      <c r="P282" s="129"/>
      <c r="Q282" s="129"/>
      <c r="R282" s="129"/>
      <c r="S282" s="129"/>
    </row>
    <row r="283" spans="3:19" ht="19.5" customHeight="1">
      <c r="C283" s="326"/>
      <c r="D283" s="194" t="s">
        <v>196</v>
      </c>
      <c r="E283" s="437">
        <v>16.14</v>
      </c>
      <c r="F283" s="194" t="s">
        <v>66</v>
      </c>
      <c r="G283" s="194"/>
      <c r="H283" s="437"/>
      <c r="I283" s="194"/>
      <c r="J283" s="183"/>
      <c r="M283" s="129"/>
      <c r="N283" s="129"/>
      <c r="O283" s="129"/>
      <c r="P283" s="129"/>
      <c r="Q283" s="129"/>
      <c r="R283" s="129"/>
      <c r="S283" s="129"/>
    </row>
    <row r="284" spans="3:19" ht="19.5" customHeight="1">
      <c r="C284" s="326"/>
      <c r="D284" s="194" t="s">
        <v>198</v>
      </c>
      <c r="E284" s="437">
        <v>90</v>
      </c>
      <c r="F284" s="194" t="s">
        <v>205</v>
      </c>
      <c r="G284" s="194"/>
      <c r="H284" s="437"/>
      <c r="I284" s="194"/>
      <c r="J284" s="183"/>
      <c r="M284" s="129"/>
      <c r="N284" s="129"/>
      <c r="O284" s="129"/>
      <c r="P284" s="129"/>
      <c r="Q284" s="129"/>
      <c r="R284" s="129"/>
      <c r="S284" s="129"/>
    </row>
    <row r="285" spans="3:19" ht="19.5" customHeight="1">
      <c r="C285" s="326"/>
      <c r="D285" s="194" t="s">
        <v>197</v>
      </c>
      <c r="E285" s="437">
        <v>0.5</v>
      </c>
      <c r="F285" s="194" t="s">
        <v>37</v>
      </c>
      <c r="G285" s="194"/>
      <c r="H285" s="437"/>
      <c r="I285" s="194"/>
      <c r="J285" s="183"/>
      <c r="M285" s="129"/>
      <c r="N285" s="129"/>
      <c r="O285" s="129"/>
      <c r="P285" s="129"/>
      <c r="Q285" s="129"/>
      <c r="R285" s="129"/>
      <c r="S285" s="129"/>
    </row>
    <row r="286" spans="3:19" ht="13.5" customHeight="1">
      <c r="C286" s="326"/>
      <c r="D286" s="194"/>
      <c r="E286" s="195">
        <f>E283*E284*E285</f>
        <v>726.30000000000007</v>
      </c>
      <c r="F286" s="194" t="s">
        <v>66</v>
      </c>
      <c r="G286" s="194"/>
      <c r="H286" s="322"/>
      <c r="I286" s="194"/>
      <c r="J286" s="183"/>
      <c r="M286" s="129"/>
      <c r="N286" s="129"/>
      <c r="O286" s="129"/>
      <c r="P286" s="129"/>
      <c r="Q286" s="129"/>
      <c r="R286" s="129"/>
      <c r="S286" s="129"/>
    </row>
    <row r="287" spans="3:19" ht="37.5" customHeight="1">
      <c r="C287" s="176" t="s">
        <v>100</v>
      </c>
      <c r="D287" s="534" t="str">
        <f>VLOOKUP($C287,Orçamento!D:P,4,0)</f>
        <v>Armacao de aco ca-60 Diam. D3,4 a 6,0mm,- Fornecimento / Corte /(c/perda de 10%) / Dobra / Colocação.</v>
      </c>
      <c r="E287" s="534"/>
      <c r="F287" s="534"/>
      <c r="G287" s="534"/>
      <c r="H287" s="534"/>
      <c r="I287" s="444" t="str">
        <f>Orçamento!L66</f>
        <v>kg</v>
      </c>
      <c r="J287" s="145">
        <f>E291</f>
        <v>726.30000000000007</v>
      </c>
      <c r="M287" s="129"/>
      <c r="N287" s="129"/>
      <c r="O287" s="129"/>
      <c r="P287" s="129"/>
      <c r="Q287" s="129"/>
      <c r="R287" s="129"/>
      <c r="S287" s="129"/>
    </row>
    <row r="288" spans="3:19" ht="37.5" customHeight="1">
      <c r="C288" s="436"/>
      <c r="D288" s="194" t="s">
        <v>196</v>
      </c>
      <c r="E288" s="437">
        <v>16.14</v>
      </c>
      <c r="F288" s="194" t="s">
        <v>66</v>
      </c>
      <c r="G288" s="194"/>
      <c r="H288" s="194"/>
      <c r="I288" s="460"/>
      <c r="J288" s="183"/>
      <c r="M288" s="129"/>
      <c r="N288" s="129"/>
      <c r="O288" s="129"/>
      <c r="P288" s="129"/>
      <c r="Q288" s="129"/>
      <c r="R288" s="129"/>
      <c r="S288" s="129"/>
    </row>
    <row r="289" spans="3:19" ht="37.5" customHeight="1">
      <c r="C289" s="436"/>
      <c r="D289" s="194" t="s">
        <v>198</v>
      </c>
      <c r="E289" s="437">
        <v>90</v>
      </c>
      <c r="F289" s="194" t="s">
        <v>205</v>
      </c>
      <c r="G289" s="194"/>
      <c r="H289" s="194"/>
      <c r="I289" s="460"/>
      <c r="J289" s="183"/>
      <c r="M289" s="129"/>
      <c r="N289" s="129"/>
      <c r="O289" s="129"/>
      <c r="P289" s="129"/>
      <c r="Q289" s="129"/>
      <c r="R289" s="129"/>
      <c r="S289" s="129"/>
    </row>
    <row r="290" spans="3:19" ht="37.5" customHeight="1">
      <c r="C290" s="436"/>
      <c r="D290" s="194" t="s">
        <v>197</v>
      </c>
      <c r="E290" s="437">
        <v>0.5</v>
      </c>
      <c r="F290" s="194" t="s">
        <v>37</v>
      </c>
      <c r="G290" s="194"/>
      <c r="H290" s="194"/>
      <c r="I290" s="460"/>
      <c r="J290" s="183"/>
      <c r="M290" s="129"/>
      <c r="N290" s="129"/>
      <c r="O290" s="129"/>
      <c r="P290" s="129"/>
      <c r="Q290" s="129"/>
      <c r="R290" s="129"/>
      <c r="S290" s="129"/>
    </row>
    <row r="291" spans="3:19" ht="37.5" customHeight="1">
      <c r="C291" s="436"/>
      <c r="D291" s="194"/>
      <c r="E291" s="195">
        <f>E288*E289*E290</f>
        <v>726.30000000000007</v>
      </c>
      <c r="F291" s="194" t="s">
        <v>66</v>
      </c>
      <c r="G291" s="194"/>
      <c r="H291" s="194"/>
      <c r="I291" s="460"/>
      <c r="J291" s="183"/>
      <c r="M291" s="129"/>
      <c r="N291" s="129"/>
      <c r="O291" s="129"/>
      <c r="P291" s="129"/>
      <c r="Q291" s="129"/>
      <c r="R291" s="129"/>
      <c r="S291" s="129"/>
    </row>
    <row r="292" spans="3:19" ht="37.5" customHeight="1">
      <c r="C292" s="199"/>
      <c r="D292" s="400"/>
      <c r="E292" s="400"/>
      <c r="F292" s="400"/>
      <c r="G292" s="400"/>
      <c r="H292" s="400"/>
      <c r="I292" s="461"/>
      <c r="J292" s="186"/>
      <c r="M292" s="129"/>
      <c r="N292" s="129"/>
      <c r="O292" s="129"/>
      <c r="P292" s="129"/>
      <c r="Q292" s="129"/>
      <c r="R292" s="129"/>
      <c r="S292" s="129"/>
    </row>
    <row r="293" spans="3:19" ht="23.25" customHeight="1">
      <c r="C293" s="176" t="s">
        <v>101</v>
      </c>
      <c r="D293" s="534" t="str">
        <f>VLOOKUP($C293,Orçamento!D:P,4,0)</f>
        <v>CONCRETO FCK=20MPA, VIRADO EM BETONEIRA, SEM LANCAMENTO</v>
      </c>
      <c r="E293" s="534"/>
      <c r="F293" s="534"/>
      <c r="G293" s="534"/>
      <c r="H293" s="534"/>
      <c r="I293" s="444" t="str">
        <f>Orçamento!L67</f>
        <v>m³</v>
      </c>
      <c r="J293" s="145">
        <f>H308</f>
        <v>16.137</v>
      </c>
    </row>
    <row r="294" spans="3:19" ht="23.25" customHeight="1">
      <c r="C294" s="198"/>
      <c r="D294" s="440"/>
      <c r="E294" s="440"/>
      <c r="F294" s="440"/>
      <c r="G294" s="440"/>
      <c r="H294" s="440"/>
      <c r="I294" s="439"/>
      <c r="J294" s="184"/>
    </row>
    <row r="295" spans="3:19" ht="23.25" customHeight="1">
      <c r="C295" s="436"/>
      <c r="D295" s="194" t="s">
        <v>182</v>
      </c>
      <c r="E295" s="437"/>
      <c r="F295" s="140"/>
      <c r="G295" s="194" t="s">
        <v>187</v>
      </c>
      <c r="H295" s="194"/>
      <c r="I295" s="434"/>
      <c r="J295" s="183"/>
    </row>
    <row r="296" spans="3:19" ht="23.25" customHeight="1">
      <c r="C296" s="436"/>
      <c r="D296" s="194" t="s">
        <v>199</v>
      </c>
      <c r="E296" s="437">
        <v>31.5</v>
      </c>
      <c r="F296" s="194" t="s">
        <v>67</v>
      </c>
      <c r="G296" s="194" t="s">
        <v>199</v>
      </c>
      <c r="H296" s="437">
        <v>10.7</v>
      </c>
      <c r="I296" s="194" t="s">
        <v>67</v>
      </c>
      <c r="J296" s="183"/>
    </row>
    <row r="297" spans="3:19" ht="23.25" customHeight="1">
      <c r="C297" s="436"/>
      <c r="D297" s="194" t="s">
        <v>202</v>
      </c>
      <c r="E297" s="437">
        <v>0.15</v>
      </c>
      <c r="F297" s="194" t="s">
        <v>67</v>
      </c>
      <c r="G297" s="194" t="s">
        <v>202</v>
      </c>
      <c r="H297" s="437">
        <v>0.15</v>
      </c>
      <c r="I297" s="194" t="s">
        <v>67</v>
      </c>
      <c r="J297" s="183"/>
    </row>
    <row r="298" spans="3:19" ht="23.25" customHeight="1">
      <c r="C298" s="436"/>
      <c r="D298" s="194" t="s">
        <v>203</v>
      </c>
      <c r="E298" s="437">
        <v>0.3</v>
      </c>
      <c r="F298" s="194" t="s">
        <v>67</v>
      </c>
      <c r="G298" s="194" t="s">
        <v>203</v>
      </c>
      <c r="H298" s="437">
        <v>0.15</v>
      </c>
      <c r="I298" s="194" t="s">
        <v>67</v>
      </c>
      <c r="J298" s="183"/>
    </row>
    <row r="299" spans="3:19" ht="23.25" customHeight="1">
      <c r="C299" s="436"/>
      <c r="D299" s="194" t="s">
        <v>204</v>
      </c>
      <c r="E299" s="195">
        <f>E296*E297*E298</f>
        <v>1.4174999999999998</v>
      </c>
      <c r="F299" s="194" t="s">
        <v>66</v>
      </c>
      <c r="G299" s="194" t="s">
        <v>204</v>
      </c>
      <c r="H299" s="195">
        <f>H296*H297*H298</f>
        <v>0.24074999999999996</v>
      </c>
      <c r="I299" s="194" t="s">
        <v>66</v>
      </c>
      <c r="J299" s="183"/>
    </row>
    <row r="300" spans="3:19" ht="23.25" customHeight="1">
      <c r="C300" s="436"/>
      <c r="D300" s="194"/>
      <c r="E300" s="437"/>
      <c r="F300" s="194"/>
      <c r="G300" s="140"/>
      <c r="H300" s="140"/>
      <c r="I300" s="434"/>
      <c r="J300" s="183"/>
    </row>
    <row r="301" spans="3:19" ht="23.25" customHeight="1">
      <c r="C301" s="436"/>
      <c r="D301" s="194" t="s">
        <v>193</v>
      </c>
      <c r="E301" s="437"/>
      <c r="F301" s="194"/>
      <c r="G301" s="140"/>
      <c r="H301" s="140"/>
      <c r="I301" s="434"/>
      <c r="J301" s="183"/>
    </row>
    <row r="302" spans="3:19" ht="23.25" customHeight="1">
      <c r="C302" s="436"/>
      <c r="D302" s="194" t="s">
        <v>199</v>
      </c>
      <c r="E302" s="437">
        <v>9.9</v>
      </c>
      <c r="F302" s="194" t="s">
        <v>67</v>
      </c>
      <c r="G302" s="140"/>
      <c r="H302" s="140"/>
      <c r="I302" s="434"/>
      <c r="J302" s="183"/>
    </row>
    <row r="303" spans="3:19" ht="23.25" customHeight="1">
      <c r="C303" s="436"/>
      <c r="D303" s="194" t="s">
        <v>202</v>
      </c>
      <c r="E303" s="437">
        <v>2.4</v>
      </c>
      <c r="F303" s="194" t="s">
        <v>67</v>
      </c>
      <c r="G303" s="140"/>
      <c r="H303" s="140"/>
      <c r="I303" s="434"/>
      <c r="J303" s="183"/>
    </row>
    <row r="304" spans="3:19" ht="23.25" customHeight="1">
      <c r="C304" s="436"/>
      <c r="D304" s="194" t="s">
        <v>206</v>
      </c>
      <c r="E304" s="437">
        <v>0.1</v>
      </c>
      <c r="F304" s="194" t="s">
        <v>67</v>
      </c>
      <c r="G304" s="140"/>
      <c r="H304" s="140"/>
      <c r="I304" s="434"/>
      <c r="J304" s="183"/>
    </row>
    <row r="305" spans="3:19" ht="23.25" customHeight="1">
      <c r="C305" s="436"/>
      <c r="D305" s="194" t="s">
        <v>204</v>
      </c>
      <c r="E305" s="195">
        <f>E302*E303*E304</f>
        <v>2.3760000000000003</v>
      </c>
      <c r="F305" s="194" t="s">
        <v>66</v>
      </c>
      <c r="G305" s="140"/>
      <c r="H305" s="140"/>
      <c r="I305" s="140"/>
      <c r="J305" s="183"/>
    </row>
    <row r="306" spans="3:19" ht="23.25" customHeight="1">
      <c r="C306" s="436"/>
      <c r="D306" s="194"/>
      <c r="E306" s="437"/>
      <c r="F306" s="194"/>
      <c r="G306" s="194" t="s">
        <v>186</v>
      </c>
      <c r="H306" s="437">
        <f>E299+H299+E305</f>
        <v>4.0342500000000001</v>
      </c>
      <c r="I306" s="194" t="s">
        <v>66</v>
      </c>
      <c r="J306" s="183"/>
    </row>
    <row r="307" spans="3:19" ht="23.25" customHeight="1">
      <c r="C307" s="436"/>
      <c r="D307" s="194"/>
      <c r="E307" s="437"/>
      <c r="F307" s="194"/>
      <c r="G307" s="433" t="s">
        <v>217</v>
      </c>
      <c r="H307" s="437">
        <v>4</v>
      </c>
      <c r="I307" s="194" t="s">
        <v>218</v>
      </c>
      <c r="J307" s="183"/>
    </row>
    <row r="308" spans="3:19" s="140" customFormat="1" ht="32.25" customHeight="1">
      <c r="C308" s="436"/>
      <c r="D308" s="194"/>
      <c r="E308" s="437"/>
      <c r="F308" s="194"/>
      <c r="G308" s="194" t="s">
        <v>195</v>
      </c>
      <c r="H308" s="437">
        <f>H306*H307</f>
        <v>16.137</v>
      </c>
      <c r="I308" s="194" t="s">
        <v>64</v>
      </c>
      <c r="J308" s="186"/>
      <c r="K308" s="141"/>
      <c r="M308" s="142"/>
      <c r="N308" s="142"/>
      <c r="O308" s="142"/>
      <c r="P308" s="142"/>
      <c r="Q308" s="142"/>
    </row>
    <row r="309" spans="3:19" s="140" customFormat="1" ht="32.25" customHeight="1">
      <c r="C309" s="177" t="s">
        <v>250</v>
      </c>
      <c r="D309" s="534" t="str">
        <f>VLOOKUP($C309,Orçamento!D:P,4,0)</f>
        <v>LANCAMENTO/APLICACAO MANUAL DE CONCRETO EM ESTRUTURAS</v>
      </c>
      <c r="E309" s="534"/>
      <c r="F309" s="534"/>
      <c r="G309" s="534"/>
      <c r="H309" s="534"/>
      <c r="I309" s="444" t="str">
        <f>Orçamento!L68</f>
        <v>m³</v>
      </c>
      <c r="J309" s="151">
        <v>16.14</v>
      </c>
      <c r="K309" s="141"/>
      <c r="M309" s="142"/>
      <c r="N309" s="142"/>
      <c r="O309" s="142"/>
      <c r="P309" s="142"/>
      <c r="Q309" s="142"/>
    </row>
    <row r="310" spans="3:19" s="140" customFormat="1" ht="46.5" customHeight="1">
      <c r="C310" s="177" t="s">
        <v>251</v>
      </c>
      <c r="D310" s="534" t="str">
        <f>VLOOKUP($C310,Orçamento!D:P,4,0)</f>
        <v>ALVENARIA DE VEDAÇÃO DE BLOCOS VAZADOS DE CONCRETO DE 14X19X39CM (ESPESSURA 14CM) DE PAREDES COM ÁREA LÍQUIDA MAIOR OU IGUAL A 6M² SEM VÃOS E ARGAMASSA DE ASSENTAMENTO COM PREPARO MANUAL</v>
      </c>
      <c r="E310" s="534"/>
      <c r="F310" s="534"/>
      <c r="G310" s="534"/>
      <c r="H310" s="534"/>
      <c r="I310" s="444" t="str">
        <f>Orçamento!L69</f>
        <v>m²</v>
      </c>
      <c r="J310" s="151">
        <f>H326</f>
        <v>53.970000000000006</v>
      </c>
      <c r="K310" s="141"/>
      <c r="M310" s="142"/>
      <c r="N310" s="142"/>
      <c r="O310" s="142"/>
      <c r="P310" s="142"/>
      <c r="Q310" s="142"/>
    </row>
    <row r="311" spans="3:19" ht="9.75" customHeight="1">
      <c r="C311" s="198"/>
      <c r="D311" s="328"/>
      <c r="E311" s="328"/>
      <c r="F311" s="328"/>
      <c r="G311" s="328"/>
      <c r="H311" s="328"/>
      <c r="I311" s="334"/>
      <c r="J311" s="184"/>
      <c r="M311" s="129"/>
      <c r="N311" s="129"/>
      <c r="O311" s="129"/>
      <c r="P311" s="129"/>
      <c r="Q311" s="129"/>
      <c r="R311" s="129"/>
      <c r="S311" s="129"/>
    </row>
    <row r="312" spans="3:19" ht="24.95" customHeight="1">
      <c r="C312" s="436"/>
      <c r="D312" s="194"/>
      <c r="E312" s="194"/>
      <c r="F312" s="194"/>
      <c r="G312" s="194"/>
      <c r="H312" s="194"/>
      <c r="I312" s="434"/>
      <c r="J312" s="183"/>
      <c r="M312" s="129"/>
      <c r="N312" s="129"/>
      <c r="O312" s="129"/>
      <c r="P312" s="129"/>
      <c r="Q312" s="129"/>
      <c r="R312" s="129"/>
      <c r="S312" s="129"/>
    </row>
    <row r="313" spans="3:19" ht="24.95" customHeight="1">
      <c r="C313" s="436"/>
      <c r="D313" s="194" t="s">
        <v>207</v>
      </c>
      <c r="E313" s="194"/>
      <c r="F313" s="194"/>
      <c r="G313" s="194" t="s">
        <v>208</v>
      </c>
      <c r="H313" s="194"/>
      <c r="I313" s="194"/>
      <c r="J313" s="183"/>
      <c r="M313" s="129"/>
      <c r="N313" s="129"/>
      <c r="O313" s="129"/>
      <c r="P313" s="129"/>
      <c r="Q313" s="129"/>
      <c r="R313" s="129"/>
      <c r="S313" s="129"/>
    </row>
    <row r="314" spans="3:19" ht="24.95" customHeight="1">
      <c r="C314" s="436"/>
      <c r="D314" s="194" t="s">
        <v>199</v>
      </c>
      <c r="E314" s="197">
        <v>6.9</v>
      </c>
      <c r="F314" s="194" t="s">
        <v>67</v>
      </c>
      <c r="G314" s="194" t="s">
        <v>199</v>
      </c>
      <c r="H314" s="197">
        <v>9.9</v>
      </c>
      <c r="I314" s="194" t="s">
        <v>67</v>
      </c>
      <c r="J314" s="183"/>
      <c r="M314" s="129"/>
      <c r="N314" s="129"/>
      <c r="O314" s="129"/>
      <c r="P314" s="129"/>
      <c r="Q314" s="129"/>
      <c r="R314" s="129"/>
      <c r="S314" s="129"/>
    </row>
    <row r="315" spans="3:19" ht="24.95" customHeight="1">
      <c r="C315" s="436"/>
      <c r="D315" s="194" t="s">
        <v>203</v>
      </c>
      <c r="E315" s="197">
        <v>0.57499999999999996</v>
      </c>
      <c r="F315" s="194" t="s">
        <v>67</v>
      </c>
      <c r="G315" s="194" t="s">
        <v>210</v>
      </c>
      <c r="H315" s="197">
        <v>1.1499999999999999</v>
      </c>
      <c r="I315" s="194" t="s">
        <v>67</v>
      </c>
      <c r="J315" s="183"/>
      <c r="M315" s="129"/>
      <c r="N315" s="129"/>
      <c r="O315" s="129"/>
      <c r="P315" s="129"/>
      <c r="Q315" s="129"/>
      <c r="R315" s="129"/>
      <c r="S315" s="129"/>
    </row>
    <row r="316" spans="3:19" ht="24.95" customHeight="1">
      <c r="C316" s="436"/>
      <c r="D316" s="194" t="s">
        <v>209</v>
      </c>
      <c r="E316" s="432">
        <f>E314*E315/2</f>
        <v>1.9837499999999999</v>
      </c>
      <c r="F316" s="194" t="s">
        <v>64</v>
      </c>
      <c r="G316" s="194" t="s">
        <v>211</v>
      </c>
      <c r="H316" s="197">
        <v>0.57499999999999996</v>
      </c>
      <c r="I316" s="194" t="s">
        <v>67</v>
      </c>
      <c r="J316" s="183"/>
      <c r="M316" s="129"/>
      <c r="N316" s="129"/>
      <c r="O316" s="129"/>
      <c r="P316" s="129"/>
      <c r="Q316" s="129"/>
      <c r="R316" s="129"/>
      <c r="S316" s="129"/>
    </row>
    <row r="317" spans="3:19" ht="24.95" customHeight="1">
      <c r="C317" s="436"/>
      <c r="D317" s="194"/>
      <c r="E317" s="194"/>
      <c r="F317" s="194"/>
      <c r="G317" s="194" t="s">
        <v>212</v>
      </c>
      <c r="H317" s="432">
        <f>(H315+H316)*H314/2</f>
        <v>8.5387500000000003</v>
      </c>
      <c r="I317" s="194" t="s">
        <v>64</v>
      </c>
      <c r="J317" s="183"/>
      <c r="M317" s="129"/>
      <c r="N317" s="129"/>
      <c r="O317" s="129"/>
      <c r="P317" s="129"/>
      <c r="Q317" s="129"/>
      <c r="R317" s="129"/>
      <c r="S317" s="129"/>
    </row>
    <row r="318" spans="3:19" ht="24.95" customHeight="1">
      <c r="C318" s="436"/>
      <c r="D318" s="194"/>
      <c r="E318" s="437"/>
      <c r="F318" s="194"/>
      <c r="G318" s="194"/>
      <c r="H318" s="194"/>
      <c r="I318" s="434"/>
      <c r="J318" s="183"/>
      <c r="M318" s="129"/>
      <c r="N318" s="129"/>
      <c r="O318" s="129"/>
      <c r="P318" s="129"/>
      <c r="Q318" s="129"/>
      <c r="R318" s="129"/>
      <c r="S318" s="129"/>
    </row>
    <row r="319" spans="3:19" ht="24.95" customHeight="1">
      <c r="C319" s="436"/>
      <c r="D319" s="194" t="s">
        <v>213</v>
      </c>
      <c r="E319" s="194"/>
      <c r="F319" s="194"/>
      <c r="G319" s="194" t="s">
        <v>215</v>
      </c>
      <c r="H319" s="194"/>
      <c r="I319" s="194"/>
      <c r="J319" s="183"/>
      <c r="M319" s="129"/>
      <c r="N319" s="129"/>
      <c r="O319" s="129"/>
      <c r="P319" s="129"/>
      <c r="Q319" s="129"/>
      <c r="R319" s="129"/>
      <c r="S319" s="129"/>
    </row>
    <row r="320" spans="3:19" ht="24.95" customHeight="1">
      <c r="C320" s="436"/>
      <c r="D320" s="194" t="s">
        <v>199</v>
      </c>
      <c r="E320" s="197">
        <v>1.2</v>
      </c>
      <c r="F320" s="194" t="s">
        <v>67</v>
      </c>
      <c r="G320" s="194" t="s">
        <v>199</v>
      </c>
      <c r="H320" s="197">
        <v>1.5</v>
      </c>
      <c r="I320" s="194" t="s">
        <v>67</v>
      </c>
      <c r="J320" s="183"/>
      <c r="M320" s="129"/>
      <c r="N320" s="129"/>
      <c r="O320" s="129"/>
      <c r="P320" s="129"/>
      <c r="Q320" s="129"/>
      <c r="R320" s="129"/>
      <c r="S320" s="129"/>
    </row>
    <row r="321" spans="3:19" ht="24.95" customHeight="1">
      <c r="C321" s="436"/>
      <c r="D321" s="194" t="s">
        <v>203</v>
      </c>
      <c r="E321" s="197">
        <v>1.1000000000000001</v>
      </c>
      <c r="F321" s="194" t="s">
        <v>67</v>
      </c>
      <c r="G321" s="194" t="s">
        <v>203</v>
      </c>
      <c r="H321" s="197">
        <v>1.1000000000000001</v>
      </c>
      <c r="I321" s="194" t="s">
        <v>67</v>
      </c>
      <c r="J321" s="183"/>
      <c r="M321" s="129"/>
      <c r="N321" s="129"/>
      <c r="O321" s="129"/>
      <c r="P321" s="129"/>
      <c r="Q321" s="129"/>
      <c r="R321" s="129"/>
      <c r="S321" s="129"/>
    </row>
    <row r="322" spans="3:19" ht="24.95" customHeight="1">
      <c r="C322" s="436"/>
      <c r="D322" s="194" t="s">
        <v>214</v>
      </c>
      <c r="E322" s="432">
        <f>E320*E321</f>
        <v>1.32</v>
      </c>
      <c r="F322" s="194" t="s">
        <v>64</v>
      </c>
      <c r="G322" s="194" t="s">
        <v>214</v>
      </c>
      <c r="H322" s="432">
        <f>H320*H321</f>
        <v>1.6500000000000001</v>
      </c>
      <c r="I322" s="194" t="s">
        <v>64</v>
      </c>
      <c r="J322" s="183"/>
      <c r="M322" s="129"/>
      <c r="N322" s="129"/>
      <c r="O322" s="129"/>
      <c r="P322" s="129"/>
      <c r="Q322" s="129"/>
      <c r="R322" s="129"/>
      <c r="S322" s="129"/>
    </row>
    <row r="323" spans="3:19" ht="24.95" customHeight="1">
      <c r="C323" s="436"/>
      <c r="D323" s="194"/>
      <c r="E323" s="437"/>
      <c r="F323" s="194"/>
      <c r="G323" s="194"/>
      <c r="H323" s="194"/>
      <c r="I323" s="434"/>
      <c r="J323" s="183"/>
      <c r="M323" s="129"/>
      <c r="N323" s="129"/>
      <c r="O323" s="129"/>
      <c r="P323" s="129"/>
      <c r="Q323" s="129"/>
      <c r="R323" s="129"/>
      <c r="S323" s="129"/>
    </row>
    <row r="324" spans="3:19" ht="24.95" customHeight="1">
      <c r="C324" s="436"/>
      <c r="D324" s="194"/>
      <c r="E324" s="437"/>
      <c r="F324" s="194"/>
      <c r="G324" s="194" t="s">
        <v>195</v>
      </c>
      <c r="H324" s="197">
        <f>E316+H317+E322+H322</f>
        <v>13.492500000000001</v>
      </c>
      <c r="I324" s="194" t="s">
        <v>64</v>
      </c>
      <c r="J324" s="183"/>
      <c r="M324" s="129"/>
      <c r="N324" s="129"/>
      <c r="O324" s="129"/>
      <c r="P324" s="129"/>
      <c r="Q324" s="129"/>
      <c r="R324" s="129"/>
      <c r="S324" s="129"/>
    </row>
    <row r="325" spans="3:19" ht="24.95" customHeight="1">
      <c r="C325" s="436"/>
      <c r="D325" s="194"/>
      <c r="E325" s="437"/>
      <c r="F325" s="194"/>
      <c r="G325" s="433" t="s">
        <v>217</v>
      </c>
      <c r="H325" s="437">
        <v>4</v>
      </c>
      <c r="I325" s="194" t="s">
        <v>218</v>
      </c>
      <c r="J325" s="183"/>
      <c r="M325" s="129"/>
      <c r="N325" s="129"/>
      <c r="O325" s="129"/>
      <c r="P325" s="129"/>
      <c r="Q325" s="129"/>
      <c r="R325" s="129"/>
      <c r="S325" s="129"/>
    </row>
    <row r="326" spans="3:19" ht="24.95" customHeight="1">
      <c r="C326" s="436"/>
      <c r="D326" s="194"/>
      <c r="E326" s="437"/>
      <c r="F326" s="194"/>
      <c r="G326" s="194" t="s">
        <v>195</v>
      </c>
      <c r="H326" s="437">
        <f>H324*H325</f>
        <v>53.970000000000006</v>
      </c>
      <c r="I326" s="194" t="s">
        <v>64</v>
      </c>
      <c r="J326" s="183"/>
      <c r="M326" s="129"/>
      <c r="N326" s="129"/>
      <c r="O326" s="129"/>
      <c r="P326" s="129"/>
      <c r="Q326" s="129"/>
      <c r="R326" s="129"/>
      <c r="S326" s="129"/>
    </row>
    <row r="327" spans="3:19" ht="24.95" customHeight="1">
      <c r="C327" s="330"/>
      <c r="D327" s="179"/>
      <c r="E327" s="332"/>
      <c r="F327" s="194"/>
      <c r="G327" s="179"/>
      <c r="H327" s="332"/>
      <c r="I327" s="194"/>
      <c r="J327" s="183"/>
      <c r="M327" s="129"/>
      <c r="N327" s="129"/>
      <c r="O327" s="129"/>
      <c r="P327" s="129"/>
      <c r="Q327" s="129"/>
      <c r="R327" s="129"/>
      <c r="S327" s="129"/>
    </row>
    <row r="328" spans="3:19" ht="19.5" customHeight="1">
      <c r="C328" s="330"/>
      <c r="D328" s="194"/>
      <c r="E328" s="332"/>
      <c r="F328" s="194"/>
      <c r="G328" s="194"/>
      <c r="H328" s="332"/>
      <c r="I328" s="194"/>
      <c r="J328" s="183"/>
      <c r="M328" s="129"/>
      <c r="N328" s="129"/>
      <c r="O328" s="129"/>
      <c r="P328" s="129"/>
      <c r="Q328" s="129"/>
      <c r="R328" s="129"/>
      <c r="S328" s="129"/>
    </row>
    <row r="329" spans="3:19" ht="19.5" customHeight="1">
      <c r="C329" s="330"/>
      <c r="D329" s="194"/>
      <c r="E329" s="332"/>
      <c r="F329" s="194"/>
      <c r="G329" s="194"/>
      <c r="H329" s="332"/>
      <c r="I329" s="194"/>
      <c r="J329" s="183"/>
      <c r="M329" s="129"/>
      <c r="N329" s="129"/>
      <c r="O329" s="129"/>
      <c r="P329" s="129"/>
      <c r="Q329" s="129"/>
      <c r="R329" s="129"/>
      <c r="S329" s="129"/>
    </row>
    <row r="330" spans="3:19" ht="19.5" customHeight="1">
      <c r="C330" s="330"/>
      <c r="D330" s="194"/>
      <c r="E330" s="437"/>
      <c r="F330" s="194"/>
      <c r="G330" s="194"/>
      <c r="H330" s="437"/>
      <c r="I330" s="194"/>
      <c r="J330" s="183"/>
      <c r="M330" s="129"/>
      <c r="N330" s="129"/>
      <c r="O330" s="129"/>
      <c r="P330" s="129"/>
      <c r="Q330" s="129"/>
      <c r="R330" s="129"/>
      <c r="S330" s="129"/>
    </row>
    <row r="331" spans="3:19" ht="13.5" customHeight="1">
      <c r="C331" s="330"/>
      <c r="D331" s="194"/>
      <c r="E331" s="332"/>
      <c r="F331" s="194"/>
      <c r="G331" s="194"/>
      <c r="H331" s="332"/>
      <c r="I331" s="194"/>
      <c r="J331" s="183"/>
      <c r="M331" s="129"/>
      <c r="N331" s="129"/>
      <c r="O331" s="129"/>
      <c r="P331" s="129"/>
      <c r="Q331" s="129"/>
      <c r="R331" s="129"/>
      <c r="S331" s="129"/>
    </row>
    <row r="332" spans="3:19" s="140" customFormat="1" ht="30" customHeight="1">
      <c r="C332" s="177" t="s">
        <v>252</v>
      </c>
      <c r="D332" s="534" t="str">
        <f>VLOOKUP($C332,Orçamento!D:P,4,0)</f>
        <v>GUARDA-CORPO EM TUBO DE ACO GALVANIZADO 1 1/2"</v>
      </c>
      <c r="E332" s="534"/>
      <c r="F332" s="534"/>
      <c r="G332" s="534"/>
      <c r="H332" s="534"/>
      <c r="I332" s="444" t="s">
        <v>67</v>
      </c>
      <c r="J332" s="151">
        <f>F336</f>
        <v>76.800000000000011</v>
      </c>
      <c r="K332" s="141"/>
      <c r="M332" s="142"/>
      <c r="N332" s="142"/>
      <c r="O332" s="142"/>
      <c r="P332" s="142"/>
      <c r="Q332" s="142"/>
    </row>
    <row r="333" spans="3:19" ht="12" customHeight="1">
      <c r="C333" s="198"/>
      <c r="D333" s="328"/>
      <c r="E333" s="328"/>
      <c r="F333" s="328"/>
      <c r="G333" s="328"/>
      <c r="H333" s="328"/>
      <c r="I333" s="393"/>
      <c r="J333" s="184"/>
      <c r="M333" s="129"/>
      <c r="N333" s="129"/>
      <c r="O333" s="129"/>
      <c r="P333" s="129"/>
      <c r="Q333" s="129"/>
      <c r="R333" s="129"/>
      <c r="S333" s="129"/>
    </row>
    <row r="334" spans="3:19" ht="19.5" customHeight="1">
      <c r="C334" s="392"/>
      <c r="D334" s="140"/>
      <c r="E334" s="194" t="s">
        <v>216</v>
      </c>
      <c r="F334" s="437">
        <f>8.4+2.4+8.4</f>
        <v>19.200000000000003</v>
      </c>
      <c r="G334" s="194" t="s">
        <v>67</v>
      </c>
      <c r="H334" s="391"/>
      <c r="I334" s="194"/>
      <c r="J334" s="183"/>
      <c r="M334" s="129"/>
      <c r="N334" s="129"/>
      <c r="O334" s="129"/>
      <c r="P334" s="129"/>
      <c r="Q334" s="129"/>
      <c r="R334" s="129"/>
      <c r="S334" s="129"/>
    </row>
    <row r="335" spans="3:19" ht="19.5" customHeight="1">
      <c r="C335" s="392"/>
      <c r="D335" s="194"/>
      <c r="E335" s="433" t="s">
        <v>217</v>
      </c>
      <c r="F335" s="437">
        <v>4</v>
      </c>
      <c r="G335" s="194" t="s">
        <v>218</v>
      </c>
      <c r="H335" s="391"/>
      <c r="I335" s="194"/>
      <c r="J335" s="183"/>
      <c r="M335" s="129"/>
      <c r="N335" s="129"/>
      <c r="O335" s="129"/>
      <c r="P335" s="129"/>
      <c r="Q335" s="129"/>
      <c r="R335" s="129"/>
      <c r="S335" s="129"/>
    </row>
    <row r="336" spans="3:19" ht="19.5" customHeight="1">
      <c r="C336" s="392"/>
      <c r="D336" s="194"/>
      <c r="E336" s="194" t="s">
        <v>195</v>
      </c>
      <c r="F336" s="437">
        <f>F334*F335</f>
        <v>76.800000000000011</v>
      </c>
      <c r="G336" s="194" t="s">
        <v>67</v>
      </c>
      <c r="H336" s="391"/>
      <c r="I336" s="194"/>
      <c r="J336" s="183"/>
      <c r="M336" s="129"/>
      <c r="N336" s="129"/>
      <c r="O336" s="129"/>
      <c r="P336" s="129"/>
      <c r="Q336" s="129"/>
      <c r="R336" s="129"/>
      <c r="S336" s="129"/>
    </row>
    <row r="337" spans="3:19" ht="19.5" customHeight="1">
      <c r="C337" s="392"/>
      <c r="D337" s="194"/>
      <c r="E337" s="437"/>
      <c r="F337" s="194"/>
      <c r="G337" s="194"/>
      <c r="H337" s="437"/>
      <c r="I337" s="194"/>
      <c r="J337" s="183"/>
      <c r="M337" s="129"/>
      <c r="N337" s="129"/>
      <c r="O337" s="129"/>
      <c r="P337" s="129"/>
      <c r="Q337" s="129"/>
      <c r="R337" s="129"/>
      <c r="S337" s="129"/>
    </row>
    <row r="338" spans="3:19" ht="19.5" customHeight="1">
      <c r="C338" s="392"/>
      <c r="D338" s="194"/>
      <c r="E338" s="437"/>
      <c r="F338" s="194"/>
      <c r="G338" s="194"/>
      <c r="H338" s="437"/>
      <c r="I338" s="194"/>
      <c r="J338" s="183"/>
      <c r="M338" s="129"/>
      <c r="N338" s="129"/>
      <c r="O338" s="129"/>
      <c r="P338" s="129"/>
      <c r="Q338" s="129"/>
      <c r="R338" s="129"/>
      <c r="S338" s="129"/>
    </row>
    <row r="339" spans="3:19" ht="13.5" customHeight="1">
      <c r="C339" s="392"/>
      <c r="D339" s="194"/>
      <c r="E339" s="391"/>
      <c r="F339" s="194"/>
      <c r="G339" s="194"/>
      <c r="H339" s="391"/>
      <c r="I339" s="194"/>
      <c r="J339" s="183"/>
      <c r="M339" s="129"/>
      <c r="N339" s="129"/>
      <c r="O339" s="129"/>
      <c r="P339" s="129"/>
      <c r="Q339" s="129"/>
      <c r="R339" s="129"/>
      <c r="S339" s="129"/>
    </row>
    <row r="340" spans="3:19" s="140" customFormat="1" ht="37.5" customHeight="1">
      <c r="C340" s="176" t="s">
        <v>253</v>
      </c>
      <c r="D340" s="534" t="str">
        <f>VLOOKUP($C340,Orçamento!D:P,4,0)</f>
        <v>CORRIMAO EM TUBO ACO GALVANIZADO 1 1/4" COM BRACADEIRA</v>
      </c>
      <c r="E340" s="534"/>
      <c r="F340" s="534"/>
      <c r="G340" s="534"/>
      <c r="H340" s="534"/>
      <c r="I340" s="444" t="s">
        <v>67</v>
      </c>
      <c r="J340" s="145">
        <f>F344</f>
        <v>80</v>
      </c>
      <c r="K340" s="141"/>
      <c r="M340" s="142"/>
      <c r="N340" s="142"/>
      <c r="O340" s="142"/>
      <c r="P340" s="142"/>
      <c r="Q340" s="142"/>
    </row>
    <row r="341" spans="3:19" ht="12" customHeight="1">
      <c r="C341" s="198"/>
      <c r="D341" s="328"/>
      <c r="E341" s="328"/>
      <c r="F341" s="328"/>
      <c r="G341" s="328"/>
      <c r="H341" s="328"/>
      <c r="I341" s="393"/>
      <c r="J341" s="184"/>
      <c r="M341" s="129"/>
      <c r="N341" s="129"/>
      <c r="O341" s="129"/>
      <c r="P341" s="129"/>
      <c r="Q341" s="129"/>
      <c r="R341" s="129"/>
      <c r="S341" s="129"/>
    </row>
    <row r="342" spans="3:19" ht="16.5" customHeight="1">
      <c r="C342" s="436"/>
      <c r="D342" s="140"/>
      <c r="E342" s="194" t="s">
        <v>216</v>
      </c>
      <c r="F342" s="437">
        <f>6.9+0.5+9.9+1.2+1.5</f>
        <v>20</v>
      </c>
      <c r="G342" s="194" t="s">
        <v>67</v>
      </c>
      <c r="H342" s="194"/>
      <c r="I342" s="434"/>
      <c r="J342" s="183"/>
      <c r="M342" s="129"/>
      <c r="N342" s="129"/>
      <c r="O342" s="129"/>
      <c r="P342" s="129"/>
      <c r="Q342" s="129"/>
      <c r="R342" s="129"/>
      <c r="S342" s="129"/>
    </row>
    <row r="343" spans="3:19" ht="16.5" customHeight="1">
      <c r="C343" s="436"/>
      <c r="D343" s="194"/>
      <c r="E343" s="433" t="s">
        <v>217</v>
      </c>
      <c r="F343" s="437">
        <v>4</v>
      </c>
      <c r="G343" s="194" t="s">
        <v>218</v>
      </c>
      <c r="H343" s="437"/>
      <c r="I343" s="194"/>
      <c r="J343" s="183"/>
      <c r="M343" s="129"/>
      <c r="N343" s="129"/>
      <c r="O343" s="129"/>
      <c r="P343" s="129"/>
      <c r="Q343" s="129"/>
      <c r="R343" s="129"/>
      <c r="S343" s="129"/>
    </row>
    <row r="344" spans="3:19" ht="19.5" customHeight="1">
      <c r="C344" s="436"/>
      <c r="D344" s="194"/>
      <c r="E344" s="194" t="s">
        <v>195</v>
      </c>
      <c r="F344" s="437">
        <f>F342*F343</f>
        <v>80</v>
      </c>
      <c r="G344" s="194" t="s">
        <v>67</v>
      </c>
      <c r="H344" s="437"/>
      <c r="I344" s="194"/>
      <c r="J344" s="183"/>
      <c r="M344" s="129"/>
      <c r="N344" s="129"/>
      <c r="O344" s="129"/>
      <c r="P344" s="129"/>
      <c r="Q344" s="129"/>
      <c r="R344" s="129"/>
      <c r="S344" s="129"/>
    </row>
    <row r="345" spans="3:19" ht="19.5" customHeight="1">
      <c r="C345" s="436"/>
      <c r="D345" s="194"/>
      <c r="E345" s="437"/>
      <c r="F345" s="194"/>
      <c r="G345" s="194"/>
      <c r="H345" s="437"/>
      <c r="I345" s="194"/>
      <c r="J345" s="183"/>
      <c r="M345" s="129"/>
      <c r="N345" s="129"/>
      <c r="O345" s="129"/>
      <c r="P345" s="129"/>
      <c r="Q345" s="129"/>
      <c r="R345" s="129"/>
      <c r="S345" s="129"/>
    </row>
    <row r="346" spans="3:19" ht="13.5" customHeight="1">
      <c r="C346" s="199"/>
      <c r="D346" s="400"/>
      <c r="E346" s="435"/>
      <c r="F346" s="400"/>
      <c r="G346" s="400"/>
      <c r="H346" s="435"/>
      <c r="I346" s="400"/>
      <c r="J346" s="186"/>
      <c r="M346" s="129"/>
      <c r="N346" s="129"/>
      <c r="O346" s="129"/>
      <c r="P346" s="129"/>
      <c r="Q346" s="129"/>
      <c r="R346" s="129"/>
      <c r="S346" s="129"/>
    </row>
    <row r="347" spans="3:19" ht="15" hidden="1" customHeight="1">
      <c r="C347" s="176"/>
      <c r="D347" s="534"/>
      <c r="E347" s="534"/>
      <c r="F347" s="534"/>
      <c r="G347" s="534"/>
      <c r="H347" s="534"/>
      <c r="I347" s="176"/>
      <c r="J347" s="145"/>
      <c r="M347" s="129"/>
      <c r="N347" s="129"/>
      <c r="O347" s="129"/>
      <c r="P347" s="129"/>
      <c r="Q347" s="129"/>
      <c r="R347" s="129"/>
      <c r="S347" s="129"/>
    </row>
    <row r="348" spans="3:19" ht="15" hidden="1" customHeight="1">
      <c r="C348" s="415"/>
      <c r="D348" s="194"/>
      <c r="E348" s="414"/>
      <c r="F348" s="194"/>
      <c r="G348" s="194"/>
      <c r="H348" s="194"/>
      <c r="I348" s="413"/>
      <c r="J348" s="183"/>
      <c r="M348" s="129"/>
      <c r="N348" s="129"/>
      <c r="O348" s="129"/>
      <c r="P348" s="129"/>
      <c r="Q348" s="129"/>
      <c r="R348" s="129"/>
      <c r="S348" s="129"/>
    </row>
    <row r="349" spans="3:19" s="140" customFormat="1" ht="15" hidden="1" customHeight="1">
      <c r="C349" s="415"/>
      <c r="D349" s="539"/>
      <c r="E349" s="539"/>
      <c r="F349" s="194"/>
      <c r="G349" s="578"/>
      <c r="H349" s="578"/>
      <c r="I349" s="194"/>
      <c r="J349" s="183"/>
      <c r="K349" s="141"/>
      <c r="M349" s="142"/>
      <c r="N349" s="142"/>
      <c r="O349" s="142"/>
      <c r="P349" s="142"/>
      <c r="Q349" s="142"/>
    </row>
    <row r="350" spans="3:19" ht="15" hidden="1" customHeight="1">
      <c r="C350" s="569"/>
      <c r="D350" s="553"/>
      <c r="E350" s="414"/>
      <c r="F350" s="194"/>
      <c r="G350" s="553"/>
      <c r="H350" s="553"/>
      <c r="I350" s="414"/>
      <c r="J350" s="196"/>
      <c r="M350" s="129"/>
      <c r="N350" s="129"/>
      <c r="O350" s="129"/>
      <c r="P350" s="129"/>
      <c r="Q350" s="129"/>
      <c r="R350" s="129"/>
      <c r="S350" s="129"/>
    </row>
    <row r="351" spans="3:19" ht="15" hidden="1" customHeight="1">
      <c r="C351" s="569"/>
      <c r="D351" s="553"/>
      <c r="E351" s="414"/>
      <c r="F351" s="194"/>
      <c r="G351" s="553"/>
      <c r="H351" s="553"/>
      <c r="I351" s="414"/>
      <c r="J351" s="196"/>
      <c r="M351" s="129"/>
      <c r="N351" s="129"/>
      <c r="O351" s="129"/>
      <c r="P351" s="129"/>
      <c r="Q351" s="129"/>
      <c r="R351" s="129"/>
      <c r="S351" s="129"/>
    </row>
    <row r="352" spans="3:19" ht="15" hidden="1" customHeight="1">
      <c r="C352" s="574"/>
      <c r="D352" s="575"/>
      <c r="E352" s="414"/>
      <c r="F352" s="194"/>
      <c r="G352" s="575"/>
      <c r="H352" s="575"/>
      <c r="I352" s="195"/>
      <c r="J352" s="196"/>
      <c r="M352" s="129"/>
      <c r="N352" s="129"/>
      <c r="O352" s="129"/>
      <c r="P352" s="129"/>
      <c r="Q352" s="129"/>
      <c r="R352" s="129"/>
      <c r="S352" s="129"/>
    </row>
    <row r="353" spans="3:19" ht="15" hidden="1" customHeight="1">
      <c r="C353" s="415"/>
      <c r="D353" s="194"/>
      <c r="E353" s="195"/>
      <c r="F353" s="194"/>
      <c r="G353" s="413"/>
      <c r="H353" s="194"/>
      <c r="I353" s="414"/>
      <c r="J353" s="196"/>
      <c r="M353" s="129"/>
      <c r="N353" s="129"/>
      <c r="O353" s="129"/>
      <c r="P353" s="129"/>
      <c r="Q353" s="129"/>
      <c r="R353" s="129"/>
      <c r="S353" s="129"/>
    </row>
    <row r="354" spans="3:19" s="140" customFormat="1" ht="15" hidden="1" customHeight="1">
      <c r="C354" s="415"/>
      <c r="D354" s="539"/>
      <c r="E354" s="539"/>
      <c r="F354" s="194"/>
      <c r="G354" s="578"/>
      <c r="H354" s="578"/>
      <c r="I354" s="194"/>
      <c r="J354" s="183"/>
      <c r="K354" s="141"/>
      <c r="M354" s="142"/>
      <c r="N354" s="142"/>
      <c r="O354" s="142"/>
      <c r="P354" s="142"/>
      <c r="Q354" s="142"/>
    </row>
    <row r="355" spans="3:19" ht="15" hidden="1" customHeight="1">
      <c r="C355" s="569"/>
      <c r="D355" s="553"/>
      <c r="E355" s="414"/>
      <c r="F355" s="194"/>
      <c r="G355" s="553"/>
      <c r="H355" s="553"/>
      <c r="I355" s="414"/>
      <c r="J355" s="196"/>
      <c r="M355" s="129"/>
      <c r="N355" s="129"/>
      <c r="O355" s="129"/>
      <c r="P355" s="129"/>
      <c r="Q355" s="129"/>
      <c r="R355" s="129"/>
      <c r="S355" s="129"/>
    </row>
    <row r="356" spans="3:19" ht="15" hidden="1" customHeight="1">
      <c r="C356" s="569"/>
      <c r="D356" s="553"/>
      <c r="E356" s="414"/>
      <c r="F356" s="194"/>
      <c r="G356" s="553"/>
      <c r="H356" s="553"/>
      <c r="I356" s="414"/>
      <c r="J356" s="196"/>
      <c r="M356" s="129"/>
      <c r="N356" s="129"/>
      <c r="O356" s="129"/>
      <c r="P356" s="129"/>
      <c r="Q356" s="129"/>
      <c r="R356" s="129"/>
      <c r="S356" s="129"/>
    </row>
    <row r="357" spans="3:19" ht="15" hidden="1" customHeight="1">
      <c r="C357" s="574"/>
      <c r="D357" s="575"/>
      <c r="E357" s="414"/>
      <c r="F357" s="194"/>
      <c r="G357" s="575"/>
      <c r="H357" s="575"/>
      <c r="I357" s="195"/>
      <c r="J357" s="196"/>
      <c r="M357" s="129"/>
      <c r="N357" s="129"/>
      <c r="O357" s="129"/>
      <c r="P357" s="129"/>
      <c r="Q357" s="129"/>
      <c r="R357" s="129"/>
      <c r="S357" s="129"/>
    </row>
    <row r="358" spans="3:19" ht="15" hidden="1" customHeight="1">
      <c r="C358" s="574"/>
      <c r="D358" s="575"/>
      <c r="E358" s="195"/>
      <c r="F358" s="194"/>
      <c r="G358" s="575"/>
      <c r="H358" s="575"/>
      <c r="I358" s="414"/>
      <c r="J358" s="196"/>
      <c r="M358" s="129"/>
      <c r="N358" s="129"/>
      <c r="O358" s="129"/>
      <c r="P358" s="129"/>
      <c r="Q358" s="129"/>
      <c r="R358" s="129"/>
      <c r="S358" s="129"/>
    </row>
    <row r="359" spans="3:19" ht="15" hidden="1" customHeight="1">
      <c r="C359" s="576"/>
      <c r="D359" s="577"/>
      <c r="E359" s="414"/>
      <c r="F359" s="194"/>
      <c r="G359" s="575"/>
      <c r="H359" s="575"/>
      <c r="I359" s="414"/>
      <c r="J359" s="321"/>
      <c r="M359" s="129"/>
      <c r="N359" s="129"/>
      <c r="O359" s="129"/>
      <c r="P359" s="129"/>
      <c r="Q359" s="129"/>
      <c r="R359" s="129"/>
      <c r="S359" s="129"/>
    </row>
    <row r="360" spans="3:19" ht="15" hidden="1" customHeight="1">
      <c r="C360" s="176"/>
      <c r="D360" s="534"/>
      <c r="E360" s="534"/>
      <c r="F360" s="534"/>
      <c r="G360" s="534"/>
      <c r="H360" s="534"/>
      <c r="I360" s="176"/>
      <c r="J360" s="145"/>
      <c r="M360" s="129"/>
      <c r="N360" s="129"/>
      <c r="O360" s="129"/>
      <c r="P360" s="129"/>
      <c r="Q360" s="129"/>
      <c r="R360" s="129"/>
      <c r="S360" s="129"/>
    </row>
    <row r="361" spans="3:19" ht="15" hidden="1" customHeight="1">
      <c r="C361" s="415"/>
      <c r="D361" s="194"/>
      <c r="E361" s="414"/>
      <c r="F361" s="194"/>
      <c r="G361" s="194"/>
      <c r="H361" s="194"/>
      <c r="I361" s="413"/>
      <c r="J361" s="183"/>
      <c r="M361" s="129"/>
      <c r="N361" s="129"/>
      <c r="O361" s="129"/>
      <c r="P361" s="129"/>
      <c r="Q361" s="129"/>
      <c r="R361" s="129"/>
      <c r="S361" s="129"/>
    </row>
    <row r="362" spans="3:19" ht="15" hidden="1" customHeight="1">
      <c r="C362" s="569"/>
      <c r="D362" s="553"/>
      <c r="E362" s="414"/>
      <c r="F362" s="194"/>
      <c r="G362" s="553"/>
      <c r="H362" s="553"/>
      <c r="I362" s="414"/>
      <c r="J362" s="196"/>
      <c r="M362" s="129"/>
      <c r="N362" s="129"/>
      <c r="O362" s="129"/>
      <c r="P362" s="129"/>
      <c r="Q362" s="129"/>
      <c r="R362" s="129"/>
      <c r="S362" s="129"/>
    </row>
    <row r="363" spans="3:19" ht="15" hidden="1" customHeight="1">
      <c r="C363" s="415"/>
      <c r="D363" s="194"/>
      <c r="E363" s="414"/>
      <c r="F363" s="194"/>
      <c r="G363" s="194"/>
      <c r="H363" s="194"/>
      <c r="I363" s="413"/>
      <c r="J363" s="183"/>
      <c r="M363" s="129"/>
      <c r="N363" s="129"/>
      <c r="O363" s="129"/>
      <c r="P363" s="129"/>
      <c r="Q363" s="129"/>
      <c r="R363" s="129"/>
      <c r="S363" s="129"/>
    </row>
    <row r="364" spans="3:19" ht="15" hidden="1" customHeight="1">
      <c r="C364" s="176"/>
      <c r="D364" s="537"/>
      <c r="E364" s="537"/>
      <c r="F364" s="537"/>
      <c r="G364" s="537"/>
      <c r="H364" s="537"/>
      <c r="I364" s="176"/>
      <c r="J364" s="145"/>
      <c r="M364" s="129"/>
      <c r="N364" s="129"/>
      <c r="O364" s="129"/>
      <c r="P364" s="129"/>
      <c r="Q364" s="129"/>
      <c r="R364" s="129"/>
      <c r="S364" s="129"/>
    </row>
    <row r="365" spans="3:19" ht="15" hidden="1" customHeight="1">
      <c r="C365" s="176"/>
      <c r="D365" s="534"/>
      <c r="E365" s="534"/>
      <c r="F365" s="534"/>
      <c r="G365" s="534"/>
      <c r="H365" s="534"/>
      <c r="I365" s="176"/>
      <c r="J365" s="145"/>
      <c r="M365" s="129"/>
      <c r="N365" s="129"/>
      <c r="O365" s="129"/>
      <c r="P365" s="129"/>
      <c r="Q365" s="129"/>
      <c r="R365" s="129"/>
      <c r="S365" s="129"/>
    </row>
    <row r="366" spans="3:19" ht="15" hidden="1" customHeight="1">
      <c r="C366" s="243"/>
      <c r="D366" s="412"/>
      <c r="E366" s="412"/>
      <c r="F366" s="244"/>
      <c r="G366" s="245"/>
      <c r="H366" s="412"/>
      <c r="I366" s="412"/>
      <c r="J366" s="246"/>
      <c r="M366" s="129"/>
      <c r="N366" s="129"/>
      <c r="O366" s="129"/>
      <c r="P366" s="129"/>
      <c r="Q366" s="129"/>
      <c r="R366" s="129"/>
      <c r="S366" s="129"/>
    </row>
    <row r="367" spans="3:19" ht="15" hidden="1" customHeight="1">
      <c r="C367" s="572"/>
      <c r="D367" s="573"/>
      <c r="E367" s="414"/>
      <c r="F367" s="194"/>
      <c r="G367" s="413"/>
      <c r="H367" s="413"/>
      <c r="I367" s="414"/>
      <c r="J367" s="230"/>
      <c r="M367" s="129"/>
      <c r="N367" s="129"/>
      <c r="O367" s="129"/>
      <c r="P367" s="129"/>
      <c r="Q367" s="129"/>
      <c r="R367" s="129"/>
      <c r="S367" s="129"/>
    </row>
    <row r="368" spans="3:19" ht="15" hidden="1" customHeight="1">
      <c r="C368" s="569"/>
      <c r="D368" s="553"/>
      <c r="E368" s="414"/>
      <c r="F368" s="194"/>
      <c r="G368" s="553"/>
      <c r="H368" s="553"/>
      <c r="I368" s="414"/>
      <c r="J368" s="196"/>
      <c r="M368" s="129"/>
      <c r="N368" s="129"/>
      <c r="O368" s="129"/>
      <c r="P368" s="129"/>
      <c r="Q368" s="129"/>
      <c r="R368" s="129"/>
      <c r="S368" s="129"/>
    </row>
    <row r="369" spans="3:19" ht="15" hidden="1" customHeight="1">
      <c r="C369" s="574"/>
      <c r="D369" s="575"/>
      <c r="E369" s="414"/>
      <c r="F369" s="194"/>
      <c r="G369" s="247"/>
      <c r="H369" s="414"/>
      <c r="I369" s="414"/>
      <c r="J369" s="196"/>
      <c r="M369" s="129"/>
      <c r="N369" s="129"/>
      <c r="O369" s="129"/>
      <c r="P369" s="129"/>
      <c r="Q369" s="129"/>
      <c r="R369" s="129"/>
      <c r="S369" s="129"/>
    </row>
    <row r="370" spans="3:19" ht="15" hidden="1" customHeight="1">
      <c r="C370" s="569"/>
      <c r="D370" s="553"/>
      <c r="E370" s="414"/>
      <c r="F370" s="194"/>
      <c r="G370" s="247"/>
      <c r="H370" s="428"/>
      <c r="I370" s="414"/>
      <c r="J370" s="230"/>
      <c r="M370" s="129"/>
      <c r="N370" s="129"/>
      <c r="O370" s="129"/>
      <c r="P370" s="129"/>
      <c r="Q370" s="129"/>
      <c r="R370" s="129"/>
      <c r="S370" s="129"/>
    </row>
    <row r="371" spans="3:19" ht="15" hidden="1" customHeight="1">
      <c r="C371" s="415"/>
      <c r="D371" s="194"/>
      <c r="E371" s="195"/>
      <c r="F371" s="194"/>
      <c r="G371" s="413"/>
      <c r="H371" s="413"/>
      <c r="I371" s="414"/>
      <c r="J371" s="230"/>
      <c r="M371" s="129"/>
      <c r="N371" s="129"/>
      <c r="O371" s="129"/>
      <c r="P371" s="129"/>
      <c r="Q371" s="129"/>
      <c r="R371" s="129"/>
      <c r="S371" s="129"/>
    </row>
    <row r="372" spans="3:19" ht="15" hidden="1" customHeight="1">
      <c r="C372" s="570"/>
      <c r="D372" s="571"/>
      <c r="E372" s="414"/>
      <c r="F372" s="194"/>
      <c r="G372" s="194"/>
      <c r="H372" s="194"/>
      <c r="I372" s="414"/>
      <c r="J372" s="230"/>
      <c r="M372" s="129"/>
      <c r="N372" s="129"/>
      <c r="O372" s="129"/>
      <c r="P372" s="129"/>
      <c r="Q372" s="129"/>
      <c r="R372" s="129"/>
      <c r="S372" s="129"/>
    </row>
    <row r="373" spans="3:19" ht="15" hidden="1" customHeight="1">
      <c r="C373" s="176"/>
      <c r="D373" s="534"/>
      <c r="E373" s="534"/>
      <c r="F373" s="534"/>
      <c r="G373" s="534"/>
      <c r="H373" s="534"/>
      <c r="I373" s="176"/>
      <c r="J373" s="145"/>
      <c r="M373" s="129"/>
      <c r="N373" s="129"/>
      <c r="O373" s="129"/>
      <c r="P373" s="129"/>
      <c r="Q373" s="129"/>
      <c r="R373" s="129"/>
      <c r="S373" s="129"/>
    </row>
    <row r="374" spans="3:19" ht="15" hidden="1" customHeight="1">
      <c r="C374" s="243"/>
      <c r="D374" s="412"/>
      <c r="E374" s="412"/>
      <c r="F374" s="244"/>
      <c r="G374" s="245"/>
      <c r="H374" s="412"/>
      <c r="I374" s="412"/>
      <c r="J374" s="246"/>
      <c r="M374" s="129"/>
      <c r="N374" s="129"/>
      <c r="O374" s="129"/>
      <c r="P374" s="129"/>
      <c r="Q374" s="129"/>
      <c r="R374" s="129"/>
      <c r="S374" s="129"/>
    </row>
    <row r="375" spans="3:19" ht="15" hidden="1" customHeight="1">
      <c r="C375" s="572"/>
      <c r="D375" s="573"/>
      <c r="E375" s="414"/>
      <c r="F375" s="194"/>
      <c r="G375" s="247"/>
      <c r="H375" s="414"/>
      <c r="I375" s="414"/>
      <c r="J375" s="230"/>
      <c r="M375" s="129"/>
      <c r="N375" s="129"/>
      <c r="O375" s="129"/>
      <c r="P375" s="129"/>
      <c r="Q375" s="129"/>
      <c r="R375" s="129"/>
      <c r="S375" s="129"/>
    </row>
    <row r="376" spans="3:19" ht="15" hidden="1" customHeight="1">
      <c r="C376" s="569"/>
      <c r="D376" s="553"/>
      <c r="E376" s="414"/>
      <c r="F376" s="194"/>
      <c r="G376" s="247"/>
      <c r="H376" s="428"/>
      <c r="I376" s="414"/>
      <c r="J376" s="196"/>
      <c r="M376" s="129"/>
      <c r="N376" s="129"/>
      <c r="O376" s="129"/>
      <c r="P376" s="129"/>
      <c r="Q376" s="129"/>
      <c r="R376" s="129"/>
      <c r="S376" s="129"/>
    </row>
    <row r="377" spans="3:19" ht="15" hidden="1" customHeight="1">
      <c r="C377" s="574"/>
      <c r="D377" s="575"/>
      <c r="E377" s="414"/>
      <c r="F377" s="194"/>
      <c r="G377" s="413"/>
      <c r="H377" s="413"/>
      <c r="I377" s="414"/>
      <c r="J377" s="196"/>
      <c r="M377" s="129"/>
      <c r="N377" s="129"/>
      <c r="O377" s="129"/>
      <c r="P377" s="129"/>
      <c r="Q377" s="129"/>
      <c r="R377" s="129"/>
      <c r="S377" s="129"/>
    </row>
    <row r="378" spans="3:19" ht="15" hidden="1" customHeight="1">
      <c r="C378" s="569"/>
      <c r="D378" s="553"/>
      <c r="E378" s="195"/>
      <c r="F378" s="194"/>
      <c r="G378" s="413"/>
      <c r="H378" s="413"/>
      <c r="I378" s="414"/>
      <c r="J378" s="230"/>
      <c r="M378" s="129"/>
      <c r="N378" s="129"/>
      <c r="O378" s="129"/>
      <c r="P378" s="129"/>
      <c r="Q378" s="129"/>
      <c r="R378" s="129"/>
      <c r="S378" s="129"/>
    </row>
    <row r="379" spans="3:19" ht="15" hidden="1" customHeight="1">
      <c r="C379" s="415"/>
      <c r="D379" s="194"/>
      <c r="E379" s="414"/>
      <c r="F379" s="194"/>
      <c r="G379" s="140"/>
      <c r="H379" s="248"/>
      <c r="I379" s="140"/>
      <c r="J379" s="230"/>
      <c r="M379" s="129"/>
      <c r="N379" s="129"/>
      <c r="O379" s="129"/>
      <c r="P379" s="129"/>
      <c r="Q379" s="129"/>
      <c r="R379" s="129"/>
      <c r="S379" s="129"/>
    </row>
    <row r="380" spans="3:19" ht="15" hidden="1" customHeight="1">
      <c r="C380" s="415"/>
      <c r="D380" s="194"/>
      <c r="E380" s="414"/>
      <c r="F380" s="194"/>
      <c r="G380" s="140"/>
      <c r="H380" s="248"/>
      <c r="I380" s="140"/>
      <c r="J380" s="230"/>
      <c r="M380" s="129"/>
      <c r="N380" s="129"/>
      <c r="O380" s="129"/>
      <c r="P380" s="129"/>
      <c r="Q380" s="129"/>
      <c r="R380" s="129"/>
      <c r="S380" s="129"/>
    </row>
    <row r="381" spans="3:19" ht="15" hidden="1" customHeight="1">
      <c r="C381" s="176"/>
      <c r="D381" s="534"/>
      <c r="E381" s="534"/>
      <c r="F381" s="534"/>
      <c r="G381" s="534"/>
      <c r="H381" s="534"/>
      <c r="I381" s="176"/>
      <c r="J381" s="145"/>
      <c r="M381" s="129"/>
      <c r="N381" s="129"/>
      <c r="O381" s="129"/>
      <c r="P381" s="129"/>
      <c r="Q381" s="129"/>
      <c r="R381" s="129"/>
      <c r="S381" s="129"/>
    </row>
    <row r="382" spans="3:19" ht="15" hidden="1" customHeight="1">
      <c r="C382" s="176"/>
      <c r="D382" s="534"/>
      <c r="E382" s="534"/>
      <c r="F382" s="534"/>
      <c r="G382" s="534"/>
      <c r="H382" s="534"/>
      <c r="I382" s="176"/>
      <c r="J382" s="145"/>
      <c r="M382" s="129"/>
      <c r="N382" s="129"/>
      <c r="O382" s="129"/>
      <c r="P382" s="129"/>
      <c r="Q382" s="129"/>
      <c r="R382" s="129"/>
      <c r="S382" s="129"/>
    </row>
    <row r="383" spans="3:19" ht="15" hidden="1" customHeight="1">
      <c r="C383" s="415"/>
      <c r="D383" s="194"/>
      <c r="E383" s="414"/>
      <c r="F383" s="194"/>
      <c r="G383" s="194"/>
      <c r="H383" s="194"/>
      <c r="I383" s="413"/>
      <c r="J383" s="183"/>
      <c r="M383" s="129"/>
      <c r="N383" s="129"/>
      <c r="O383" s="129"/>
      <c r="P383" s="129"/>
      <c r="Q383" s="129"/>
      <c r="R383" s="129"/>
      <c r="S383" s="129"/>
    </row>
    <row r="384" spans="3:19" ht="15" hidden="1" customHeight="1">
      <c r="C384" s="569"/>
      <c r="D384" s="553"/>
      <c r="E384" s="414"/>
      <c r="F384" s="194"/>
      <c r="G384" s="553"/>
      <c r="H384" s="553"/>
      <c r="I384" s="414"/>
      <c r="J384" s="196"/>
      <c r="M384" s="129"/>
      <c r="N384" s="129"/>
      <c r="O384" s="129"/>
      <c r="P384" s="129"/>
      <c r="Q384" s="129"/>
      <c r="R384" s="129"/>
      <c r="S384" s="129"/>
    </row>
    <row r="385" spans="3:19" ht="15" hidden="1" customHeight="1">
      <c r="C385" s="415"/>
      <c r="D385" s="194"/>
      <c r="E385" s="414"/>
      <c r="F385" s="194"/>
      <c r="G385" s="194"/>
      <c r="H385" s="194"/>
      <c r="I385" s="413"/>
      <c r="J385" s="183"/>
      <c r="M385" s="129"/>
      <c r="N385" s="129"/>
      <c r="O385" s="129"/>
      <c r="P385" s="129"/>
      <c r="Q385" s="129"/>
      <c r="R385" s="129"/>
      <c r="S385" s="129"/>
    </row>
    <row r="386" spans="3:19" ht="15" hidden="1" customHeight="1">
      <c r="C386" s="416"/>
      <c r="D386" s="537"/>
      <c r="E386" s="537"/>
      <c r="F386" s="537"/>
      <c r="G386" s="537"/>
      <c r="H386" s="537"/>
      <c r="I386" s="176"/>
      <c r="J386" s="145"/>
    </row>
    <row r="387" spans="3:19" ht="15" hidden="1" customHeight="1">
      <c r="C387" s="176"/>
      <c r="D387" s="534"/>
      <c r="E387" s="534"/>
      <c r="F387" s="534"/>
      <c r="G387" s="534"/>
      <c r="H387" s="534"/>
      <c r="I387" s="176"/>
      <c r="J387" s="145"/>
    </row>
    <row r="388" spans="3:19" ht="15" hidden="1" customHeight="1">
      <c r="C388" s="176"/>
      <c r="D388" s="534"/>
      <c r="E388" s="534"/>
      <c r="F388" s="534"/>
      <c r="G388" s="534"/>
      <c r="H388" s="534"/>
      <c r="I388" s="176"/>
      <c r="J388" s="145"/>
    </row>
    <row r="389" spans="3:19" ht="15" hidden="1" customHeight="1">
      <c r="C389" s="280"/>
      <c r="D389" s="194"/>
      <c r="E389" s="412"/>
      <c r="F389" s="244"/>
      <c r="G389" s="245"/>
      <c r="H389" s="412"/>
      <c r="I389" s="412"/>
      <c r="J389" s="246"/>
      <c r="M389" s="129"/>
      <c r="N389" s="129"/>
      <c r="O389" s="129"/>
      <c r="P389" s="129"/>
      <c r="Q389" s="129"/>
      <c r="R389" s="129"/>
      <c r="S389" s="129"/>
    </row>
    <row r="390" spans="3:19" ht="15" hidden="1" customHeight="1">
      <c r="C390" s="278"/>
      <c r="D390" s="281"/>
      <c r="E390" s="276"/>
      <c r="F390" s="274"/>
      <c r="G390" s="274"/>
      <c r="H390" s="274"/>
      <c r="I390" s="298"/>
      <c r="J390" s="270"/>
      <c r="M390" s="129"/>
      <c r="N390" s="129"/>
      <c r="O390" s="129"/>
      <c r="P390" s="129"/>
      <c r="Q390" s="129"/>
      <c r="R390" s="129"/>
      <c r="S390" s="129"/>
    </row>
    <row r="391" spans="3:19" ht="15" hidden="1" customHeight="1">
      <c r="C391" s="278"/>
      <c r="D391" s="282"/>
      <c r="E391" s="276"/>
      <c r="F391" s="274"/>
      <c r="G391" s="274"/>
      <c r="H391" s="276"/>
      <c r="I391" s="304"/>
      <c r="J391" s="270"/>
      <c r="M391" s="129"/>
      <c r="N391" s="129"/>
      <c r="O391" s="129"/>
      <c r="P391" s="129"/>
      <c r="Q391" s="129"/>
      <c r="R391" s="129"/>
      <c r="S391" s="129"/>
    </row>
    <row r="392" spans="3:19" ht="15" hidden="1" customHeight="1">
      <c r="C392" s="278"/>
      <c r="D392" s="283"/>
      <c r="E392" s="276"/>
      <c r="F392" s="274"/>
      <c r="G392" s="284"/>
      <c r="H392" s="276"/>
      <c r="I392" s="298"/>
      <c r="J392" s="270"/>
      <c r="M392" s="129"/>
      <c r="N392" s="129"/>
      <c r="O392" s="129"/>
      <c r="P392" s="129"/>
      <c r="Q392" s="129"/>
      <c r="R392" s="129"/>
      <c r="S392" s="129"/>
    </row>
    <row r="393" spans="3:19" ht="15" hidden="1" customHeight="1">
      <c r="C393" s="278"/>
      <c r="D393" s="282"/>
      <c r="E393" s="276"/>
      <c r="F393" s="285"/>
      <c r="G393" s="284"/>
      <c r="H393" s="276"/>
      <c r="I393" s="304"/>
      <c r="J393" s="270"/>
      <c r="M393" s="129"/>
      <c r="N393" s="129"/>
      <c r="O393" s="129"/>
      <c r="P393" s="129"/>
      <c r="Q393" s="129"/>
      <c r="R393" s="129"/>
      <c r="S393" s="129"/>
    </row>
    <row r="394" spans="3:19" ht="15" hidden="1" customHeight="1">
      <c r="C394" s="279"/>
      <c r="D394" s="282"/>
      <c r="E394" s="276"/>
      <c r="F394" s="274"/>
      <c r="G394" s="274"/>
      <c r="H394" s="274"/>
      <c r="I394" s="276"/>
      <c r="J394" s="336"/>
      <c r="M394" s="129"/>
      <c r="N394" s="129"/>
      <c r="O394" s="129"/>
      <c r="P394" s="129"/>
      <c r="Q394" s="129"/>
      <c r="R394" s="129"/>
      <c r="S394" s="129"/>
    </row>
    <row r="395" spans="3:19" ht="15" hidden="1" customHeight="1">
      <c r="C395" s="427"/>
      <c r="D395" s="194"/>
      <c r="E395" s="414"/>
      <c r="F395" s="194"/>
      <c r="G395" s="194"/>
      <c r="H395" s="194"/>
      <c r="I395" s="414"/>
      <c r="J395" s="230"/>
      <c r="M395" s="129"/>
      <c r="N395" s="129"/>
      <c r="O395" s="129"/>
      <c r="P395" s="129"/>
      <c r="Q395" s="129"/>
      <c r="R395" s="129"/>
      <c r="S395" s="129"/>
    </row>
    <row r="396" spans="3:19" ht="15" hidden="1" customHeight="1">
      <c r="C396" s="177"/>
      <c r="D396" s="565"/>
      <c r="E396" s="565"/>
      <c r="F396" s="565"/>
      <c r="G396" s="565"/>
      <c r="H396" s="565"/>
      <c r="I396" s="177"/>
      <c r="J396" s="151"/>
    </row>
    <row r="397" spans="3:19" ht="15" hidden="1" customHeight="1">
      <c r="C397" s="280"/>
      <c r="D397" s="412"/>
      <c r="E397" s="412"/>
      <c r="F397" s="244"/>
      <c r="G397" s="245"/>
      <c r="H397" s="412"/>
      <c r="I397" s="412"/>
      <c r="J397" s="246"/>
      <c r="M397" s="129"/>
      <c r="N397" s="129"/>
      <c r="O397" s="129"/>
      <c r="P397" s="129"/>
      <c r="Q397" s="129"/>
      <c r="R397" s="129"/>
      <c r="S397" s="129"/>
    </row>
    <row r="398" spans="3:19" ht="15" hidden="1" customHeight="1">
      <c r="C398" s="124"/>
      <c r="D398" s="426"/>
      <c r="E398" s="272"/>
      <c r="F398" s="424"/>
      <c r="G398" s="423"/>
      <c r="H398" s="272"/>
      <c r="I398" s="287"/>
      <c r="J398" s="270"/>
      <c r="M398" s="129"/>
      <c r="N398" s="129"/>
      <c r="O398" s="129"/>
      <c r="P398" s="129"/>
      <c r="Q398" s="129"/>
      <c r="R398" s="129"/>
      <c r="S398" s="129"/>
    </row>
    <row r="399" spans="3:19" ht="15" hidden="1" customHeight="1">
      <c r="C399" s="124"/>
      <c r="D399" s="288"/>
      <c r="E399" s="272"/>
      <c r="F399" s="423"/>
      <c r="G399" s="289"/>
      <c r="H399" s="272"/>
      <c r="I399" s="286"/>
      <c r="J399" s="270"/>
      <c r="M399" s="129"/>
      <c r="N399" s="129"/>
      <c r="O399" s="129"/>
      <c r="P399" s="129"/>
      <c r="Q399" s="129"/>
      <c r="R399" s="129"/>
      <c r="S399" s="129"/>
    </row>
    <row r="400" spans="3:19" ht="15" hidden="1" customHeight="1">
      <c r="C400" s="124"/>
      <c r="D400" s="426"/>
      <c r="E400" s="273"/>
      <c r="F400" s="424"/>
      <c r="G400" s="289"/>
      <c r="H400" s="272"/>
      <c r="I400" s="287"/>
      <c r="J400" s="270"/>
      <c r="M400" s="129"/>
      <c r="N400" s="129"/>
      <c r="O400" s="129"/>
      <c r="P400" s="129"/>
      <c r="Q400" s="129"/>
      <c r="R400" s="129"/>
      <c r="S400" s="129"/>
    </row>
    <row r="401" spans="3:19" ht="15" hidden="1" customHeight="1">
      <c r="C401" s="427"/>
      <c r="D401" s="400"/>
      <c r="E401" s="428"/>
      <c r="F401" s="400"/>
      <c r="G401" s="400"/>
      <c r="H401" s="400"/>
      <c r="I401" s="428"/>
      <c r="J401" s="290"/>
      <c r="M401" s="129"/>
      <c r="N401" s="129"/>
      <c r="O401" s="129"/>
      <c r="P401" s="129"/>
      <c r="Q401" s="129"/>
      <c r="R401" s="129"/>
      <c r="S401" s="129"/>
    </row>
    <row r="402" spans="3:19" ht="15" hidden="1" customHeight="1">
      <c r="C402" s="177"/>
      <c r="D402" s="565"/>
      <c r="E402" s="565"/>
      <c r="F402" s="565"/>
      <c r="G402" s="565"/>
      <c r="H402" s="565"/>
      <c r="I402" s="177"/>
      <c r="J402" s="151"/>
    </row>
    <row r="403" spans="3:19" ht="15" hidden="1" customHeight="1">
      <c r="C403" s="198"/>
      <c r="D403" s="412"/>
      <c r="E403" s="412"/>
      <c r="F403" s="412"/>
      <c r="G403" s="412"/>
      <c r="H403" s="412"/>
      <c r="I403" s="421"/>
      <c r="J403" s="184"/>
    </row>
    <row r="404" spans="3:19" ht="15" hidden="1" customHeight="1">
      <c r="C404" s="278"/>
      <c r="D404" s="277"/>
      <c r="E404" s="276"/>
      <c r="F404" s="274"/>
      <c r="G404" s="274"/>
      <c r="H404" s="423"/>
      <c r="I404" s="294"/>
      <c r="J404" s="303"/>
      <c r="M404" s="129"/>
      <c r="N404" s="129"/>
      <c r="O404" s="129"/>
      <c r="P404" s="129"/>
      <c r="Q404" s="129"/>
      <c r="R404" s="129"/>
      <c r="S404" s="129"/>
    </row>
    <row r="405" spans="3:19" ht="15" hidden="1" customHeight="1">
      <c r="C405" s="278"/>
      <c r="D405" s="275"/>
      <c r="E405" s="276"/>
      <c r="F405" s="274"/>
      <c r="G405" s="285"/>
      <c r="H405" s="272"/>
      <c r="I405" s="299"/>
      <c r="J405" s="303"/>
      <c r="M405" s="129"/>
      <c r="N405" s="129"/>
      <c r="O405" s="129"/>
      <c r="P405" s="129"/>
      <c r="Q405" s="129"/>
      <c r="R405" s="129"/>
      <c r="S405" s="129"/>
    </row>
    <row r="406" spans="3:19" ht="15" hidden="1" customHeight="1">
      <c r="C406" s="278"/>
      <c r="D406" s="306"/>
      <c r="E406" s="276"/>
      <c r="F406" s="274"/>
      <c r="G406" s="284"/>
      <c r="H406" s="272"/>
      <c r="I406" s="294"/>
      <c r="J406" s="303"/>
      <c r="M406" s="129"/>
      <c r="N406" s="129"/>
      <c r="O406" s="129"/>
      <c r="P406" s="129"/>
      <c r="Q406" s="129"/>
      <c r="R406" s="129"/>
      <c r="S406" s="129"/>
    </row>
    <row r="407" spans="3:19" ht="15" hidden="1" customHeight="1">
      <c r="C407" s="278"/>
      <c r="D407" s="275"/>
      <c r="E407" s="276"/>
      <c r="F407" s="285"/>
      <c r="G407" s="307"/>
      <c r="H407" s="272"/>
      <c r="I407" s="299"/>
      <c r="J407" s="303"/>
      <c r="M407" s="129"/>
      <c r="N407" s="129"/>
      <c r="O407" s="129"/>
      <c r="P407" s="129"/>
      <c r="Q407" s="129"/>
      <c r="R407" s="129"/>
      <c r="S407" s="129"/>
    </row>
    <row r="408" spans="3:19" ht="15" hidden="1" customHeight="1">
      <c r="C408" s="279"/>
      <c r="D408" s="275"/>
      <c r="E408" s="276"/>
      <c r="F408" s="274"/>
      <c r="G408" s="285"/>
      <c r="H408" s="424"/>
      <c r="I408" s="272"/>
      <c r="J408" s="336"/>
      <c r="M408" s="129"/>
      <c r="N408" s="129"/>
      <c r="O408" s="129"/>
      <c r="P408" s="129"/>
      <c r="Q408" s="129"/>
      <c r="R408" s="129"/>
      <c r="S408" s="129"/>
    </row>
    <row r="409" spans="3:19" ht="15" hidden="1" customHeight="1">
      <c r="C409" s="291"/>
      <c r="D409" s="296"/>
      <c r="E409" s="297"/>
      <c r="F409" s="301"/>
      <c r="G409" s="308"/>
      <c r="H409" s="301"/>
      <c r="I409" s="297"/>
      <c r="J409" s="337"/>
      <c r="M409" s="129"/>
      <c r="N409" s="129"/>
      <c r="O409" s="129"/>
      <c r="P409" s="129"/>
      <c r="Q409" s="129"/>
      <c r="R409" s="129"/>
      <c r="S409" s="129"/>
    </row>
    <row r="410" spans="3:19" ht="15" hidden="1" customHeight="1">
      <c r="C410" s="177"/>
      <c r="D410" s="565"/>
      <c r="E410" s="565"/>
      <c r="F410" s="565"/>
      <c r="G410" s="565"/>
      <c r="H410" s="565"/>
      <c r="I410" s="177"/>
      <c r="J410" s="151"/>
    </row>
    <row r="411" spans="3:19" ht="15" hidden="1" customHeight="1">
      <c r="C411" s="280"/>
      <c r="D411" s="412"/>
      <c r="E411" s="412"/>
      <c r="F411" s="244"/>
      <c r="G411" s="245"/>
      <c r="H411" s="412"/>
      <c r="I411" s="412"/>
      <c r="J411" s="246"/>
      <c r="M411" s="129"/>
      <c r="N411" s="129"/>
      <c r="O411" s="129"/>
      <c r="P411" s="129"/>
      <c r="Q411" s="129"/>
      <c r="R411" s="129"/>
      <c r="S411" s="129"/>
    </row>
    <row r="412" spans="3:19" ht="15" hidden="1" customHeight="1">
      <c r="C412" s="124"/>
      <c r="D412" s="426"/>
      <c r="E412" s="272"/>
      <c r="F412" s="424"/>
      <c r="G412" s="423"/>
      <c r="H412" s="272"/>
      <c r="I412" s="287"/>
      <c r="J412" s="270"/>
      <c r="M412" s="129"/>
      <c r="N412" s="129"/>
      <c r="O412" s="129"/>
      <c r="P412" s="129"/>
      <c r="Q412" s="129"/>
      <c r="R412" s="129"/>
      <c r="S412" s="129"/>
    </row>
    <row r="413" spans="3:19" ht="15" hidden="1" customHeight="1">
      <c r="C413" s="124"/>
      <c r="D413" s="288"/>
      <c r="E413" s="272"/>
      <c r="F413" s="424"/>
      <c r="G413" s="289"/>
      <c r="H413" s="272"/>
      <c r="I413" s="286"/>
      <c r="J413" s="270"/>
      <c r="M413" s="129"/>
      <c r="N413" s="129"/>
      <c r="O413" s="129"/>
      <c r="P413" s="129"/>
      <c r="Q413" s="129"/>
      <c r="R413" s="129"/>
      <c r="S413" s="129"/>
    </row>
    <row r="414" spans="3:19" ht="15" hidden="1" customHeight="1">
      <c r="C414" s="124"/>
      <c r="D414" s="426"/>
      <c r="E414" s="273"/>
      <c r="F414" s="424"/>
      <c r="G414" s="289"/>
      <c r="H414" s="272"/>
      <c r="I414" s="287"/>
      <c r="J414" s="270"/>
      <c r="M414" s="129"/>
      <c r="N414" s="129"/>
      <c r="O414" s="129"/>
      <c r="P414" s="129"/>
      <c r="Q414" s="129"/>
      <c r="R414" s="129"/>
      <c r="S414" s="129"/>
    </row>
    <row r="415" spans="3:19" ht="15" hidden="1" customHeight="1">
      <c r="C415" s="427"/>
      <c r="D415" s="400"/>
      <c r="E415" s="428"/>
      <c r="F415" s="400"/>
      <c r="G415" s="400"/>
      <c r="H415" s="400"/>
      <c r="I415" s="428"/>
      <c r="J415" s="290"/>
      <c r="M415" s="129"/>
      <c r="N415" s="129"/>
      <c r="O415" s="129"/>
      <c r="P415" s="129"/>
      <c r="Q415" s="129"/>
      <c r="R415" s="129"/>
      <c r="S415" s="129"/>
    </row>
    <row r="416" spans="3:19" ht="15" hidden="1" customHeight="1">
      <c r="C416" s="181"/>
      <c r="D416" s="536"/>
      <c r="E416" s="536"/>
      <c r="F416" s="536"/>
      <c r="G416" s="536"/>
      <c r="H416" s="536"/>
      <c r="I416" s="181"/>
      <c r="J416" s="143"/>
    </row>
    <row r="417" spans="3:19" ht="15" hidden="1" customHeight="1">
      <c r="C417" s="177"/>
      <c r="D417" s="565"/>
      <c r="E417" s="565"/>
      <c r="F417" s="565"/>
      <c r="G417" s="565"/>
      <c r="H417" s="565"/>
      <c r="I417" s="177"/>
      <c r="J417" s="151"/>
    </row>
    <row r="418" spans="3:19" ht="15" hidden="1" customHeight="1">
      <c r="C418" s="198"/>
      <c r="D418" s="412"/>
      <c r="E418" s="412"/>
      <c r="F418" s="412"/>
      <c r="G418" s="412"/>
      <c r="H418" s="412"/>
      <c r="I418" s="421"/>
      <c r="J418" s="184"/>
    </row>
    <row r="419" spans="3:19" ht="15" hidden="1" customHeight="1">
      <c r="C419" s="278"/>
      <c r="D419" s="277"/>
      <c r="E419" s="276"/>
      <c r="F419" s="274"/>
      <c r="G419" s="274"/>
      <c r="H419" s="274"/>
      <c r="I419" s="423"/>
      <c r="J419" s="303"/>
      <c r="M419" s="129"/>
      <c r="N419" s="129"/>
      <c r="O419" s="129"/>
      <c r="P419" s="129"/>
      <c r="Q419" s="129"/>
      <c r="R419" s="129"/>
      <c r="S419" s="129"/>
    </row>
    <row r="420" spans="3:19" ht="15" hidden="1" customHeight="1">
      <c r="C420" s="278"/>
      <c r="D420" s="306"/>
      <c r="E420" s="276"/>
      <c r="F420" s="274"/>
      <c r="G420" s="284"/>
      <c r="H420" s="284"/>
      <c r="I420" s="272"/>
      <c r="J420" s="303"/>
      <c r="M420" s="129"/>
      <c r="N420" s="129"/>
      <c r="O420" s="129"/>
      <c r="P420" s="129"/>
      <c r="Q420" s="129"/>
      <c r="R420" s="129"/>
      <c r="S420" s="129"/>
    </row>
    <row r="421" spans="3:19" ht="15" hidden="1" customHeight="1">
      <c r="C421" s="278"/>
      <c r="D421" s="275"/>
      <c r="E421" s="276"/>
      <c r="F421" s="285"/>
      <c r="G421" s="307"/>
      <c r="H421" s="307"/>
      <c r="I421" s="272"/>
      <c r="J421" s="303"/>
      <c r="M421" s="129"/>
      <c r="N421" s="129"/>
      <c r="O421" s="129"/>
      <c r="P421" s="129"/>
      <c r="Q421" s="129"/>
      <c r="R421" s="129"/>
      <c r="S421" s="129"/>
    </row>
    <row r="422" spans="3:19" ht="15" hidden="1" customHeight="1">
      <c r="C422" s="279"/>
      <c r="D422" s="275"/>
      <c r="E422" s="276"/>
      <c r="F422" s="274"/>
      <c r="G422" s="285"/>
      <c r="H422" s="285"/>
      <c r="I422" s="424"/>
      <c r="J422" s="336"/>
      <c r="M422" s="129"/>
      <c r="N422" s="129"/>
      <c r="O422" s="129"/>
      <c r="P422" s="129"/>
      <c r="Q422" s="129"/>
      <c r="R422" s="129"/>
      <c r="S422" s="129"/>
    </row>
    <row r="423" spans="3:19" ht="15" hidden="1" customHeight="1">
      <c r="C423" s="291"/>
      <c r="D423" s="296"/>
      <c r="E423" s="297"/>
      <c r="F423" s="301"/>
      <c r="G423" s="308"/>
      <c r="H423" s="301"/>
      <c r="I423" s="297"/>
      <c r="J423" s="337"/>
      <c r="M423" s="129"/>
      <c r="N423" s="129"/>
      <c r="O423" s="129"/>
      <c r="P423" s="129"/>
      <c r="Q423" s="129"/>
      <c r="R423" s="129"/>
      <c r="S423" s="129"/>
    </row>
    <row r="424" spans="3:19" ht="15" hidden="1" customHeight="1">
      <c r="C424" s="177"/>
      <c r="D424" s="565"/>
      <c r="E424" s="565"/>
      <c r="F424" s="565"/>
      <c r="G424" s="565"/>
      <c r="H424" s="565"/>
      <c r="I424" s="177"/>
      <c r="J424" s="151"/>
    </row>
    <row r="425" spans="3:19" ht="15" hidden="1" customHeight="1">
      <c r="C425" s="198"/>
      <c r="D425" s="412"/>
      <c r="E425" s="412"/>
      <c r="F425" s="412"/>
      <c r="G425" s="412"/>
      <c r="H425" s="412"/>
      <c r="I425" s="421"/>
      <c r="J425" s="184"/>
    </row>
    <row r="426" spans="3:19" ht="15" hidden="1" customHeight="1">
      <c r="C426" s="278"/>
      <c r="D426" s="277"/>
      <c r="E426" s="276"/>
      <c r="F426" s="274"/>
      <c r="G426" s="274"/>
      <c r="H426" s="274"/>
      <c r="I426" s="423"/>
      <c r="J426" s="303"/>
      <c r="M426" s="129"/>
      <c r="N426" s="129"/>
      <c r="O426" s="129"/>
      <c r="P426" s="129"/>
      <c r="Q426" s="129"/>
      <c r="R426" s="129"/>
      <c r="S426" s="129"/>
    </row>
    <row r="427" spans="3:19" ht="15" hidden="1" customHeight="1">
      <c r="C427" s="278"/>
      <c r="D427" s="306"/>
      <c r="E427" s="276"/>
      <c r="F427" s="274"/>
      <c r="G427" s="284"/>
      <c r="H427" s="284"/>
      <c r="I427" s="272"/>
      <c r="J427" s="303"/>
      <c r="M427" s="129"/>
      <c r="N427" s="129"/>
      <c r="O427" s="129"/>
      <c r="P427" s="129"/>
      <c r="Q427" s="129"/>
      <c r="R427" s="129"/>
      <c r="S427" s="129"/>
    </row>
    <row r="428" spans="3:19" ht="15" hidden="1" customHeight="1">
      <c r="C428" s="279"/>
      <c r="D428" s="275"/>
      <c r="E428" s="276"/>
      <c r="F428" s="274"/>
      <c r="G428" s="285"/>
      <c r="H428" s="285"/>
      <c r="I428" s="424"/>
      <c r="J428" s="336"/>
      <c r="M428" s="129"/>
      <c r="N428" s="129"/>
      <c r="O428" s="129"/>
      <c r="P428" s="129"/>
      <c r="Q428" s="129"/>
      <c r="R428" s="129"/>
      <c r="S428" s="129"/>
    </row>
    <row r="429" spans="3:19" ht="15" hidden="1" customHeight="1">
      <c r="C429" s="291"/>
      <c r="D429" s="296"/>
      <c r="E429" s="297"/>
      <c r="F429" s="301"/>
      <c r="G429" s="308"/>
      <c r="H429" s="301"/>
      <c r="I429" s="297"/>
      <c r="J429" s="337"/>
      <c r="M429" s="129"/>
      <c r="N429" s="129"/>
      <c r="O429" s="129"/>
      <c r="P429" s="129"/>
      <c r="Q429" s="129"/>
      <c r="R429" s="129"/>
      <c r="S429" s="129"/>
    </row>
    <row r="430" spans="3:19" ht="15" hidden="1" customHeight="1">
      <c r="C430" s="177"/>
      <c r="D430" s="565"/>
      <c r="E430" s="565"/>
      <c r="F430" s="565"/>
      <c r="G430" s="565"/>
      <c r="H430" s="565"/>
      <c r="I430" s="177"/>
      <c r="J430" s="151"/>
    </row>
    <row r="431" spans="3:19" ht="15" hidden="1" customHeight="1">
      <c r="C431" s="198"/>
      <c r="D431" s="412"/>
      <c r="E431" s="412"/>
      <c r="F431" s="267"/>
      <c r="G431" s="412"/>
      <c r="H431" s="412"/>
      <c r="I431" s="421"/>
      <c r="J431" s="184"/>
    </row>
    <row r="432" spans="3:19" ht="15" hidden="1" customHeight="1">
      <c r="C432" s="278"/>
      <c r="D432" s="277"/>
      <c r="E432" s="276"/>
      <c r="F432" s="274"/>
      <c r="G432" s="274"/>
      <c r="H432" s="274"/>
      <c r="I432" s="423"/>
      <c r="J432" s="303"/>
      <c r="M432" s="129"/>
      <c r="N432" s="129"/>
      <c r="O432" s="129"/>
      <c r="P432" s="129"/>
      <c r="Q432" s="129"/>
      <c r="R432" s="129"/>
      <c r="S432" s="129"/>
    </row>
    <row r="433" spans="3:19" ht="15" hidden="1" customHeight="1">
      <c r="C433" s="278"/>
      <c r="D433" s="306"/>
      <c r="E433" s="276"/>
      <c r="F433" s="274"/>
      <c r="G433" s="284"/>
      <c r="H433" s="284"/>
      <c r="I433" s="272"/>
      <c r="J433" s="303"/>
      <c r="M433" s="129"/>
      <c r="N433" s="129"/>
      <c r="O433" s="129"/>
      <c r="P433" s="129"/>
      <c r="Q433" s="129"/>
      <c r="R433" s="129"/>
      <c r="S433" s="129"/>
    </row>
    <row r="434" spans="3:19" ht="15" hidden="1" customHeight="1">
      <c r="C434" s="278"/>
      <c r="D434" s="306"/>
      <c r="E434" s="276"/>
      <c r="F434" s="285"/>
      <c r="G434" s="284"/>
      <c r="H434" s="307"/>
      <c r="I434" s="272"/>
      <c r="J434" s="303"/>
      <c r="M434" s="129"/>
      <c r="N434" s="129"/>
      <c r="O434" s="129"/>
      <c r="P434" s="129"/>
      <c r="Q434" s="129"/>
      <c r="R434" s="129"/>
      <c r="S434" s="129"/>
    </row>
    <row r="435" spans="3:19" ht="15" hidden="1" customHeight="1">
      <c r="C435" s="279"/>
      <c r="D435" s="275"/>
      <c r="E435" s="276"/>
      <c r="F435" s="274"/>
      <c r="G435" s="285"/>
      <c r="H435" s="285"/>
      <c r="I435" s="424"/>
      <c r="J435" s="336"/>
      <c r="M435" s="129"/>
      <c r="N435" s="129"/>
      <c r="O435" s="129"/>
      <c r="P435" s="129"/>
      <c r="Q435" s="129"/>
      <c r="R435" s="129"/>
      <c r="S435" s="129"/>
    </row>
    <row r="436" spans="3:19" ht="15" hidden="1" customHeight="1">
      <c r="C436" s="291"/>
      <c r="D436" s="296"/>
      <c r="E436" s="297"/>
      <c r="F436" s="301"/>
      <c r="G436" s="308"/>
      <c r="H436" s="301"/>
      <c r="I436" s="297"/>
      <c r="J436" s="337"/>
      <c r="M436" s="129"/>
      <c r="N436" s="129"/>
      <c r="O436" s="129"/>
      <c r="P436" s="129"/>
      <c r="Q436" s="129"/>
      <c r="R436" s="129"/>
      <c r="S436" s="129"/>
    </row>
    <row r="437" spans="3:19" ht="15" hidden="1" customHeight="1">
      <c r="C437" s="177"/>
      <c r="D437" s="565"/>
      <c r="E437" s="565"/>
      <c r="F437" s="565"/>
      <c r="G437" s="565"/>
      <c r="H437" s="565"/>
      <c r="I437" s="177"/>
      <c r="J437" s="151"/>
    </row>
    <row r="438" spans="3:19" ht="15" hidden="1" customHeight="1">
      <c r="C438" s="198"/>
      <c r="D438" s="412"/>
      <c r="E438" s="412"/>
      <c r="F438" s="267"/>
      <c r="G438" s="412"/>
      <c r="H438" s="412"/>
      <c r="I438" s="421"/>
      <c r="J438" s="184"/>
    </row>
    <row r="439" spans="3:19" ht="15" hidden="1" customHeight="1">
      <c r="C439" s="278"/>
      <c r="D439" s="277"/>
      <c r="E439" s="276"/>
      <c r="F439" s="274"/>
      <c r="G439" s="274"/>
      <c r="H439" s="274"/>
      <c r="I439" s="423"/>
      <c r="J439" s="303"/>
      <c r="M439" s="129"/>
      <c r="N439" s="129"/>
      <c r="O439" s="129"/>
      <c r="P439" s="129"/>
      <c r="Q439" s="129"/>
      <c r="R439" s="129"/>
      <c r="S439" s="129"/>
    </row>
    <row r="440" spans="3:19" ht="15" hidden="1" customHeight="1">
      <c r="C440" s="278"/>
      <c r="D440" s="306"/>
      <c r="E440" s="276"/>
      <c r="F440" s="276"/>
      <c r="G440" s="284"/>
      <c r="H440" s="284"/>
      <c r="I440" s="272"/>
      <c r="J440" s="303"/>
      <c r="M440" s="129"/>
      <c r="N440" s="129"/>
      <c r="O440" s="129"/>
      <c r="P440" s="129"/>
      <c r="Q440" s="129"/>
      <c r="R440" s="129"/>
      <c r="S440" s="129"/>
    </row>
    <row r="441" spans="3:19" ht="15" hidden="1" customHeight="1">
      <c r="C441" s="291"/>
      <c r="D441" s="296"/>
      <c r="E441" s="297"/>
      <c r="F441" s="301"/>
      <c r="G441" s="308"/>
      <c r="H441" s="301"/>
      <c r="I441" s="297"/>
      <c r="J441" s="337"/>
      <c r="M441" s="129"/>
      <c r="N441" s="129"/>
      <c r="O441" s="129"/>
      <c r="P441" s="129"/>
      <c r="Q441" s="129"/>
      <c r="R441" s="129"/>
      <c r="S441" s="129"/>
    </row>
    <row r="442" spans="3:19" ht="15" hidden="1" customHeight="1">
      <c r="C442" s="177"/>
      <c r="D442" s="565"/>
      <c r="E442" s="565"/>
      <c r="F442" s="565"/>
      <c r="G442" s="565"/>
      <c r="H442" s="565"/>
      <c r="I442" s="177"/>
      <c r="J442" s="151"/>
    </row>
    <row r="443" spans="3:19" ht="15" hidden="1" customHeight="1">
      <c r="C443" s="198"/>
      <c r="D443" s="412"/>
      <c r="E443" s="412"/>
      <c r="F443" s="267"/>
      <c r="G443" s="412"/>
      <c r="H443" s="412"/>
      <c r="I443" s="421"/>
      <c r="J443" s="184"/>
    </row>
    <row r="444" spans="3:19" ht="15" hidden="1" customHeight="1">
      <c r="C444" s="278"/>
      <c r="D444" s="277"/>
      <c r="E444" s="276"/>
      <c r="F444" s="274"/>
      <c r="G444" s="274"/>
      <c r="H444" s="274"/>
      <c r="I444" s="423"/>
      <c r="J444" s="303"/>
      <c r="M444" s="129"/>
      <c r="N444" s="129"/>
      <c r="O444" s="129"/>
      <c r="P444" s="129"/>
      <c r="Q444" s="129"/>
      <c r="R444" s="129"/>
      <c r="S444" s="129"/>
    </row>
    <row r="445" spans="3:19" ht="15" hidden="1" customHeight="1">
      <c r="C445" s="278"/>
      <c r="D445" s="306"/>
      <c r="E445" s="276"/>
      <c r="F445" s="276"/>
      <c r="G445" s="284"/>
      <c r="H445" s="284"/>
      <c r="I445" s="272"/>
      <c r="J445" s="303"/>
      <c r="M445" s="129"/>
      <c r="N445" s="129"/>
      <c r="O445" s="129"/>
      <c r="P445" s="129"/>
      <c r="Q445" s="129"/>
      <c r="R445" s="129"/>
      <c r="S445" s="129"/>
    </row>
    <row r="446" spans="3:19" ht="15" hidden="1" customHeight="1">
      <c r="C446" s="291"/>
      <c r="D446" s="296"/>
      <c r="E446" s="297"/>
      <c r="F446" s="301"/>
      <c r="G446" s="308"/>
      <c r="H446" s="301"/>
      <c r="I446" s="297"/>
      <c r="J446" s="337"/>
      <c r="M446" s="129"/>
      <c r="N446" s="129"/>
      <c r="O446" s="129"/>
      <c r="P446" s="129"/>
      <c r="Q446" s="129"/>
      <c r="R446" s="129"/>
      <c r="S446" s="129"/>
    </row>
    <row r="447" spans="3:19" ht="15" hidden="1" customHeight="1">
      <c r="C447" s="177"/>
      <c r="D447" s="565"/>
      <c r="E447" s="565"/>
      <c r="F447" s="565"/>
      <c r="G447" s="565"/>
      <c r="H447" s="565"/>
      <c r="I447" s="177"/>
      <c r="J447" s="151"/>
    </row>
    <row r="448" spans="3:19" ht="15" hidden="1" customHeight="1">
      <c r="C448" s="198"/>
      <c r="D448" s="412"/>
      <c r="E448" s="412"/>
      <c r="F448" s="412"/>
      <c r="G448" s="412"/>
      <c r="H448" s="412"/>
      <c r="I448" s="421"/>
      <c r="J448" s="184"/>
    </row>
    <row r="449" spans="3:10" ht="15" hidden="1" customHeight="1">
      <c r="C449" s="415"/>
      <c r="D449" s="568"/>
      <c r="E449" s="568"/>
      <c r="F449" s="568"/>
      <c r="G449" s="568"/>
      <c r="H449" s="568"/>
      <c r="I449" s="413"/>
      <c r="J449" s="183"/>
    </row>
    <row r="450" spans="3:10" ht="15" hidden="1" customHeight="1">
      <c r="C450" s="199"/>
      <c r="D450" s="400"/>
      <c r="E450" s="400"/>
      <c r="F450" s="268"/>
      <c r="G450" s="400"/>
      <c r="H450" s="400"/>
      <c r="I450" s="422"/>
      <c r="J450" s="186"/>
    </row>
    <row r="451" spans="3:10" ht="15" hidden="1" customHeight="1">
      <c r="C451" s="181"/>
      <c r="D451" s="536"/>
      <c r="E451" s="536"/>
      <c r="F451" s="536"/>
      <c r="G451" s="536"/>
      <c r="H451" s="536"/>
      <c r="I451" s="181"/>
      <c r="J451" s="143"/>
    </row>
    <row r="452" spans="3:10" ht="15" hidden="1" customHeight="1">
      <c r="C452" s="176"/>
      <c r="D452" s="534"/>
      <c r="E452" s="534"/>
      <c r="F452" s="534"/>
      <c r="G452" s="534"/>
      <c r="H452" s="534"/>
      <c r="I452" s="176"/>
      <c r="J452" s="145"/>
    </row>
    <row r="453" spans="3:10" ht="15" hidden="1" customHeight="1">
      <c r="C453" s="415"/>
      <c r="D453" s="194"/>
      <c r="E453" s="414"/>
      <c r="F453" s="194"/>
      <c r="G453" s="194"/>
      <c r="H453" s="194"/>
      <c r="I453" s="413"/>
      <c r="J453" s="183"/>
    </row>
    <row r="454" spans="3:10" ht="15" hidden="1" customHeight="1">
      <c r="C454" s="415"/>
      <c r="D454" s="194"/>
      <c r="E454" s="414"/>
      <c r="F454" s="194"/>
      <c r="G454" s="194"/>
      <c r="H454" s="194"/>
      <c r="I454" s="413"/>
      <c r="J454" s="183"/>
    </row>
    <row r="455" spans="3:10" ht="15" hidden="1" customHeight="1">
      <c r="C455" s="415"/>
      <c r="D455" s="140"/>
      <c r="E455" s="195"/>
      <c r="F455" s="194"/>
      <c r="G455" s="194"/>
      <c r="H455" s="194"/>
      <c r="I455" s="413"/>
      <c r="J455" s="183"/>
    </row>
    <row r="456" spans="3:10" ht="15" hidden="1" customHeight="1">
      <c r="C456" s="199"/>
      <c r="D456" s="400"/>
      <c r="E456" s="400"/>
      <c r="F456" s="400"/>
      <c r="G456" s="400"/>
      <c r="H456" s="400"/>
      <c r="I456" s="422"/>
      <c r="J456" s="186"/>
    </row>
    <row r="457" spans="3:10" ht="15" hidden="1" customHeight="1">
      <c r="C457" s="176"/>
      <c r="D457" s="534"/>
      <c r="E457" s="534"/>
      <c r="F457" s="534"/>
      <c r="G457" s="534"/>
      <c r="H457" s="534"/>
      <c r="I457" s="176"/>
      <c r="J457" s="145"/>
    </row>
    <row r="458" spans="3:10" ht="15" hidden="1" customHeight="1">
      <c r="C458" s="416"/>
      <c r="D458" s="545"/>
      <c r="E458" s="545"/>
      <c r="F458" s="545"/>
      <c r="G458" s="545"/>
      <c r="H458" s="545"/>
      <c r="I458" s="176"/>
      <c r="J458" s="145"/>
    </row>
    <row r="459" spans="3:10" ht="15" hidden="1" customHeight="1">
      <c r="C459" s="176"/>
      <c r="D459" s="534"/>
      <c r="E459" s="534"/>
      <c r="F459" s="534"/>
      <c r="G459" s="534"/>
      <c r="H459" s="534"/>
      <c r="I459" s="176"/>
      <c r="J459" s="145"/>
    </row>
    <row r="460" spans="3:10" ht="15" hidden="1" customHeight="1">
      <c r="C460" s="415"/>
      <c r="D460" s="194"/>
      <c r="E460" s="194"/>
      <c r="F460" s="194"/>
      <c r="G460" s="194"/>
      <c r="H460" s="194"/>
      <c r="I460" s="413"/>
      <c r="J460" s="183"/>
    </row>
    <row r="461" spans="3:10" ht="15" hidden="1" customHeight="1">
      <c r="C461" s="415"/>
      <c r="D461" s="550"/>
      <c r="E461" s="272"/>
      <c r="F461" s="426"/>
      <c r="G461" s="194"/>
      <c r="H461" s="194"/>
      <c r="I461" s="413"/>
      <c r="J461" s="183"/>
    </row>
    <row r="462" spans="3:10" ht="15" hidden="1" customHeight="1">
      <c r="C462" s="415"/>
      <c r="D462" s="550"/>
      <c r="E462" s="426"/>
      <c r="F462" s="426"/>
      <c r="G462" s="194"/>
      <c r="H462" s="194"/>
      <c r="I462" s="413"/>
      <c r="J462" s="183"/>
    </row>
    <row r="463" spans="3:10" ht="15" hidden="1" customHeight="1">
      <c r="C463" s="415"/>
      <c r="D463" s="140"/>
      <c r="E463" s="194"/>
      <c r="G463" s="194"/>
      <c r="H463" s="194"/>
      <c r="I463" s="413"/>
      <c r="J463" s="183"/>
    </row>
    <row r="464" spans="3:10" ht="15" hidden="1" customHeight="1">
      <c r="C464" s="199"/>
      <c r="D464" s="400"/>
      <c r="E464" s="400"/>
      <c r="F464" s="400"/>
      <c r="G464" s="400"/>
      <c r="H464" s="400"/>
      <c r="I464" s="422"/>
      <c r="J464" s="186"/>
    </row>
    <row r="465" spans="3:19" ht="15" hidden="1" customHeight="1">
      <c r="C465" s="176"/>
      <c r="D465" s="534"/>
      <c r="E465" s="534"/>
      <c r="F465" s="534"/>
      <c r="G465" s="534"/>
      <c r="H465" s="534"/>
      <c r="I465" s="176"/>
      <c r="J465" s="145"/>
    </row>
    <row r="466" spans="3:19" ht="15" hidden="1" customHeight="1">
      <c r="C466" s="415"/>
      <c r="D466" s="194"/>
      <c r="E466" s="194"/>
      <c r="F466" s="194"/>
      <c r="G466" s="194"/>
      <c r="H466" s="194"/>
      <c r="I466" s="413"/>
      <c r="J466" s="183"/>
    </row>
    <row r="467" spans="3:19" ht="15" hidden="1" customHeight="1">
      <c r="C467" s="415"/>
      <c r="D467" s="550"/>
      <c r="E467" s="272"/>
      <c r="F467" s="426"/>
      <c r="G467" s="194"/>
      <c r="H467" s="194"/>
      <c r="I467" s="413"/>
      <c r="J467" s="183"/>
    </row>
    <row r="468" spans="3:19" ht="15" hidden="1" customHeight="1">
      <c r="C468" s="415"/>
      <c r="D468" s="550"/>
      <c r="E468" s="426"/>
      <c r="F468" s="426"/>
      <c r="G468" s="194"/>
      <c r="H468" s="194"/>
      <c r="I468" s="413"/>
      <c r="J468" s="183"/>
    </row>
    <row r="469" spans="3:19" ht="15" hidden="1" customHeight="1">
      <c r="C469" s="415"/>
      <c r="D469" s="140"/>
      <c r="E469" s="194"/>
      <c r="G469" s="194"/>
      <c r="H469" s="194"/>
      <c r="I469" s="413"/>
      <c r="J469" s="183"/>
    </row>
    <row r="470" spans="3:19" ht="15" hidden="1" customHeight="1">
      <c r="C470" s="199"/>
      <c r="D470" s="400"/>
      <c r="E470" s="400"/>
      <c r="F470" s="400"/>
      <c r="G470" s="400"/>
      <c r="H470" s="400"/>
      <c r="I470" s="422"/>
      <c r="J470" s="186"/>
    </row>
    <row r="471" spans="3:19" ht="15" hidden="1" customHeight="1">
      <c r="C471" s="176"/>
      <c r="D471" s="534"/>
      <c r="E471" s="534"/>
      <c r="F471" s="534"/>
      <c r="G471" s="534"/>
      <c r="H471" s="534"/>
      <c r="I471" s="176"/>
      <c r="J471" s="145"/>
    </row>
    <row r="472" spans="3:19" ht="15" hidden="1" customHeight="1">
      <c r="C472" s="198"/>
      <c r="D472" s="412"/>
      <c r="E472" s="412"/>
      <c r="F472" s="412"/>
      <c r="G472" s="412"/>
      <c r="H472" s="412"/>
      <c r="I472" s="421"/>
      <c r="J472" s="184"/>
      <c r="M472" s="129"/>
      <c r="N472" s="129"/>
      <c r="O472" s="129"/>
      <c r="P472" s="129"/>
      <c r="Q472" s="129"/>
      <c r="R472" s="129"/>
      <c r="S472" s="129"/>
    </row>
    <row r="473" spans="3:19" ht="15" hidden="1" customHeight="1">
      <c r="C473" s="415"/>
      <c r="D473" s="426"/>
      <c r="E473" s="272"/>
      <c r="F473" s="426"/>
      <c r="G473" s="194"/>
      <c r="H473" s="194"/>
      <c r="I473" s="413"/>
      <c r="J473" s="183"/>
      <c r="M473" s="129"/>
      <c r="N473" s="129"/>
      <c r="O473" s="129"/>
      <c r="P473" s="129"/>
      <c r="Q473" s="129"/>
      <c r="R473" s="129"/>
      <c r="S473" s="129"/>
    </row>
    <row r="474" spans="3:19" ht="15" hidden="1" customHeight="1">
      <c r="C474" s="415"/>
      <c r="D474" s="426"/>
      <c r="E474" s="272"/>
      <c r="F474" s="426"/>
      <c r="G474" s="194"/>
      <c r="H474" s="194"/>
      <c r="I474" s="413"/>
      <c r="J474" s="183"/>
      <c r="M474" s="129"/>
      <c r="N474" s="129"/>
      <c r="O474" s="129"/>
      <c r="P474" s="129"/>
      <c r="Q474" s="129"/>
      <c r="R474" s="129"/>
      <c r="S474" s="129"/>
    </row>
    <row r="475" spans="3:19" ht="15" hidden="1" customHeight="1">
      <c r="C475" s="415"/>
      <c r="D475" s="194"/>
      <c r="E475" s="414"/>
      <c r="F475" s="194"/>
      <c r="G475" s="194"/>
      <c r="H475" s="194"/>
      <c r="I475" s="413"/>
      <c r="J475" s="183"/>
      <c r="M475" s="129"/>
      <c r="N475" s="129"/>
      <c r="O475" s="129"/>
      <c r="P475" s="129"/>
      <c r="Q475" s="129"/>
      <c r="R475" s="129"/>
      <c r="S475" s="129"/>
    </row>
    <row r="476" spans="3:19" ht="15" hidden="1" customHeight="1">
      <c r="C476" s="176"/>
      <c r="D476" s="534"/>
      <c r="E476" s="534"/>
      <c r="F476" s="534"/>
      <c r="G476" s="534"/>
      <c r="H476" s="534"/>
      <c r="I476" s="176"/>
      <c r="J476" s="145"/>
    </row>
    <row r="477" spans="3:19" ht="15" hidden="1" customHeight="1">
      <c r="C477" s="198"/>
      <c r="D477" s="412"/>
      <c r="E477" s="412"/>
      <c r="F477" s="412"/>
      <c r="G477" s="412"/>
      <c r="H477" s="412"/>
      <c r="I477" s="421"/>
      <c r="J477" s="184"/>
      <c r="M477" s="129"/>
      <c r="N477" s="129"/>
      <c r="O477" s="129"/>
      <c r="P477" s="129"/>
      <c r="Q477" s="129"/>
      <c r="R477" s="129"/>
      <c r="S477" s="129"/>
    </row>
    <row r="478" spans="3:19" ht="15" hidden="1" customHeight="1">
      <c r="C478" s="415"/>
      <c r="D478" s="426"/>
      <c r="E478" s="272"/>
      <c r="F478" s="426"/>
      <c r="G478" s="194"/>
      <c r="H478" s="194"/>
      <c r="I478" s="413"/>
      <c r="J478" s="183"/>
      <c r="M478" s="129"/>
      <c r="N478" s="129"/>
      <c r="O478" s="129"/>
      <c r="P478" s="129"/>
      <c r="Q478" s="129"/>
      <c r="R478" s="129"/>
      <c r="S478" s="129"/>
    </row>
    <row r="479" spans="3:19" ht="15" hidden="1" customHeight="1">
      <c r="C479" s="415"/>
      <c r="D479" s="194"/>
      <c r="E479" s="414"/>
      <c r="F479" s="194"/>
      <c r="G479" s="194"/>
      <c r="H479" s="194"/>
      <c r="I479" s="413"/>
      <c r="J479" s="183"/>
      <c r="M479" s="129"/>
      <c r="N479" s="129"/>
      <c r="O479" s="129"/>
      <c r="P479" s="129"/>
      <c r="Q479" s="129"/>
      <c r="R479" s="129"/>
      <c r="S479" s="129"/>
    </row>
    <row r="480" spans="3:19" ht="15" hidden="1" customHeight="1" thickBot="1">
      <c r="C480" s="176"/>
      <c r="D480" s="534"/>
      <c r="E480" s="534"/>
      <c r="F480" s="534"/>
      <c r="G480" s="534"/>
      <c r="H480" s="534"/>
      <c r="I480" s="176"/>
      <c r="J480" s="145"/>
    </row>
    <row r="481" spans="1:19" s="140" customFormat="1" ht="15" hidden="1" customHeight="1" thickBot="1">
      <c r="C481" s="338"/>
      <c r="D481" s="535"/>
      <c r="E481" s="535"/>
      <c r="F481" s="535"/>
      <c r="G481" s="535"/>
      <c r="H481" s="567"/>
      <c r="I481" s="203"/>
      <c r="J481" s="339"/>
      <c r="K481" s="141"/>
      <c r="M481" s="142"/>
      <c r="N481" s="142"/>
      <c r="O481" s="142"/>
      <c r="P481" s="142"/>
      <c r="Q481" s="142"/>
    </row>
    <row r="482" spans="1:19" ht="15" hidden="1" customHeight="1">
      <c r="C482" s="416"/>
      <c r="D482" s="545"/>
      <c r="E482" s="545"/>
      <c r="F482" s="545"/>
      <c r="G482" s="545"/>
      <c r="H482" s="545"/>
      <c r="I482" s="176"/>
      <c r="J482" s="145"/>
      <c r="M482" s="129"/>
      <c r="N482" s="129"/>
      <c r="O482" s="129"/>
      <c r="P482" s="129"/>
      <c r="Q482" s="129"/>
      <c r="R482" s="129"/>
      <c r="S482" s="129"/>
    </row>
    <row r="483" spans="1:19" ht="15" hidden="1" customHeight="1">
      <c r="C483" s="177"/>
      <c r="D483" s="534"/>
      <c r="E483" s="534"/>
      <c r="F483" s="534"/>
      <c r="G483" s="534"/>
      <c r="H483" s="534"/>
      <c r="I483" s="176"/>
      <c r="J483" s="151"/>
      <c r="M483" s="129"/>
      <c r="N483" s="129"/>
      <c r="O483" s="129"/>
      <c r="P483" s="129"/>
      <c r="Q483" s="129"/>
      <c r="R483" s="129"/>
      <c r="S483" s="129"/>
    </row>
    <row r="484" spans="1:19" ht="15" hidden="1" customHeight="1">
      <c r="C484" s="241"/>
      <c r="D484" s="417"/>
      <c r="E484" s="249"/>
      <c r="F484" s="417"/>
      <c r="G484" s="417"/>
      <c r="H484" s="417"/>
      <c r="I484" s="419"/>
      <c r="J484" s="185"/>
      <c r="M484" s="129"/>
      <c r="N484" s="129"/>
      <c r="O484" s="129"/>
      <c r="P484" s="129"/>
      <c r="Q484" s="129"/>
      <c r="R484" s="129"/>
      <c r="S484" s="129"/>
    </row>
    <row r="485" spans="1:19" ht="15" hidden="1" customHeight="1">
      <c r="C485" s="180"/>
      <c r="D485" s="545"/>
      <c r="E485" s="545"/>
      <c r="F485" s="545"/>
      <c r="G485" s="545"/>
      <c r="H485" s="545"/>
      <c r="I485" s="181"/>
      <c r="J485" s="143"/>
    </row>
    <row r="486" spans="1:19" ht="15" hidden="1" customHeight="1">
      <c r="C486" s="176"/>
      <c r="D486" s="534"/>
      <c r="E486" s="534"/>
      <c r="F486" s="534"/>
      <c r="G486" s="534"/>
      <c r="H486" s="534"/>
      <c r="I486" s="176"/>
      <c r="J486" s="145"/>
    </row>
    <row r="487" spans="1:19" ht="15" hidden="1" customHeight="1">
      <c r="C487" s="241"/>
      <c r="D487" s="566"/>
      <c r="E487" s="566"/>
      <c r="F487" s="250"/>
      <c r="G487" s="417"/>
      <c r="H487" s="417"/>
      <c r="I487" s="419"/>
      <c r="J487" s="185"/>
      <c r="M487" s="129"/>
      <c r="N487" s="129"/>
      <c r="O487" s="129"/>
      <c r="P487" s="129"/>
      <c r="Q487" s="129"/>
      <c r="R487" s="129"/>
      <c r="S487" s="129"/>
    </row>
    <row r="488" spans="1:19" ht="15" hidden="1" customHeight="1">
      <c r="C488" s="416"/>
      <c r="D488" s="545"/>
      <c r="E488" s="545"/>
      <c r="F488" s="545"/>
      <c r="G488" s="545"/>
      <c r="H488" s="545"/>
      <c r="I488" s="176"/>
      <c r="J488" s="145"/>
    </row>
    <row r="489" spans="1:19" ht="15" hidden="1" customHeight="1">
      <c r="C489" s="177"/>
      <c r="D489" s="534"/>
      <c r="E489" s="534"/>
      <c r="F489" s="534"/>
      <c r="G489" s="534"/>
      <c r="H489" s="534"/>
      <c r="I489" s="176"/>
      <c r="J489" s="151"/>
    </row>
    <row r="490" spans="1:19" ht="15" hidden="1" customHeight="1">
      <c r="C490" s="198"/>
      <c r="D490" s="412"/>
      <c r="E490" s="412"/>
      <c r="F490" s="412"/>
      <c r="G490" s="412"/>
      <c r="H490" s="412"/>
      <c r="I490" s="421"/>
      <c r="J490" s="184"/>
    </row>
    <row r="491" spans="1:19" ht="15" hidden="1" customHeight="1">
      <c r="C491" s="415"/>
      <c r="D491" s="194"/>
      <c r="E491" s="414"/>
      <c r="F491" s="194"/>
      <c r="G491" s="194"/>
      <c r="H491" s="414"/>
      <c r="I491" s="194"/>
      <c r="J491" s="183"/>
    </row>
    <row r="492" spans="1:19" ht="15" hidden="1" customHeight="1">
      <c r="C492" s="415"/>
      <c r="D492" s="194"/>
      <c r="E492" s="414"/>
      <c r="F492" s="194"/>
      <c r="G492" s="194"/>
      <c r="H492" s="414"/>
      <c r="I492" s="194"/>
      <c r="J492" s="183"/>
    </row>
    <row r="493" spans="1:19" ht="15" hidden="1" customHeight="1">
      <c r="C493" s="415"/>
      <c r="D493" s="194"/>
      <c r="E493" s="195"/>
      <c r="F493" s="194"/>
      <c r="G493" s="194"/>
      <c r="H493" s="195"/>
      <c r="I493" s="194"/>
      <c r="J493" s="183"/>
    </row>
    <row r="494" spans="1:19" ht="15" hidden="1" customHeight="1">
      <c r="C494" s="199"/>
      <c r="D494" s="400"/>
      <c r="E494" s="400"/>
      <c r="F494" s="400"/>
      <c r="G494" s="400"/>
      <c r="H494" s="400"/>
      <c r="I494" s="422"/>
      <c r="J494" s="186"/>
    </row>
    <row r="495" spans="1:19" ht="15" hidden="1" customHeight="1">
      <c r="A495" s="140"/>
      <c r="C495" s="416"/>
      <c r="D495" s="545"/>
      <c r="E495" s="545"/>
      <c r="F495" s="545"/>
      <c r="G495" s="545"/>
      <c r="H495" s="545"/>
      <c r="I495" s="176"/>
      <c r="J495" s="145"/>
      <c r="M495" s="129"/>
      <c r="N495" s="129"/>
      <c r="O495" s="129"/>
      <c r="P495" s="129"/>
      <c r="Q495" s="129"/>
      <c r="R495" s="129"/>
      <c r="S495" s="129"/>
    </row>
    <row r="496" spans="1:19" ht="15" hidden="1" customHeight="1">
      <c r="C496" s="177"/>
      <c r="D496" s="565"/>
      <c r="E496" s="565"/>
      <c r="F496" s="565"/>
      <c r="G496" s="565"/>
      <c r="H496" s="565"/>
      <c r="I496" s="177"/>
      <c r="J496" s="151"/>
    </row>
    <row r="497" spans="3:12" ht="15" hidden="1" customHeight="1">
      <c r="C497" s="198"/>
      <c r="D497" s="412"/>
      <c r="E497" s="412"/>
      <c r="F497" s="412"/>
      <c r="G497" s="412"/>
      <c r="H497" s="412"/>
      <c r="I497" s="421"/>
      <c r="J497" s="184"/>
    </row>
    <row r="498" spans="3:12" ht="15" hidden="1" customHeight="1">
      <c r="C498" s="415"/>
      <c r="D498" s="539"/>
      <c r="E498" s="539"/>
      <c r="F498" s="539"/>
      <c r="G498" s="194"/>
      <c r="H498" s="194"/>
      <c r="I498" s="413"/>
      <c r="J498" s="183"/>
    </row>
    <row r="499" spans="3:12" ht="15" hidden="1" customHeight="1">
      <c r="C499" s="415"/>
      <c r="D499" s="194"/>
      <c r="E499" s="414"/>
      <c r="F499" s="194"/>
      <c r="G499" s="194"/>
      <c r="H499" s="414"/>
      <c r="I499" s="194"/>
      <c r="J499" s="183"/>
    </row>
    <row r="500" spans="3:12" ht="15" hidden="1" customHeight="1">
      <c r="C500" s="415"/>
      <c r="D500" s="194"/>
      <c r="E500" s="414"/>
      <c r="F500" s="194"/>
      <c r="G500" s="194"/>
      <c r="H500" s="414"/>
      <c r="I500" s="194"/>
      <c r="J500" s="183"/>
    </row>
    <row r="501" spans="3:12" ht="15" hidden="1" customHeight="1">
      <c r="C501" s="415"/>
      <c r="D501" s="194"/>
      <c r="E501" s="414"/>
      <c r="F501" s="194"/>
      <c r="G501" s="194"/>
      <c r="H501" s="414"/>
      <c r="I501" s="194"/>
      <c r="J501" s="183"/>
      <c r="L501" s="235"/>
    </row>
    <row r="502" spans="3:12" ht="15" hidden="1" customHeight="1">
      <c r="C502" s="415"/>
      <c r="D502" s="194"/>
      <c r="E502" s="414"/>
      <c r="F502" s="194"/>
      <c r="G502" s="194"/>
      <c r="H502" s="414"/>
      <c r="I502" s="194"/>
      <c r="J502" s="183"/>
    </row>
    <row r="503" spans="3:12" ht="15" hidden="1" customHeight="1">
      <c r="C503" s="415"/>
      <c r="D503" s="194"/>
      <c r="E503" s="194"/>
      <c r="F503" s="194"/>
      <c r="G503" s="194"/>
      <c r="H503" s="194"/>
      <c r="I503" s="413"/>
      <c r="J503" s="183"/>
    </row>
    <row r="504" spans="3:12" ht="15" hidden="1" customHeight="1">
      <c r="C504" s="415"/>
      <c r="D504" s="194"/>
      <c r="E504" s="414"/>
      <c r="F504" s="194"/>
      <c r="G504" s="194"/>
      <c r="H504" s="414"/>
      <c r="I504" s="194"/>
      <c r="J504" s="183"/>
    </row>
    <row r="505" spans="3:12" ht="15" hidden="1" customHeight="1">
      <c r="C505" s="415"/>
      <c r="D505" s="194"/>
      <c r="E505" s="414"/>
      <c r="F505" s="194"/>
      <c r="G505" s="194"/>
      <c r="H505" s="414"/>
      <c r="I505" s="194"/>
      <c r="J505" s="183"/>
    </row>
    <row r="506" spans="3:12" ht="15" hidden="1" customHeight="1">
      <c r="C506" s="415"/>
      <c r="D506" s="194"/>
      <c r="E506" s="414"/>
      <c r="F506" s="194"/>
      <c r="G506" s="194"/>
      <c r="H506" s="414"/>
      <c r="I506" s="194"/>
      <c r="J506" s="183"/>
      <c r="L506" s="235"/>
    </row>
    <row r="507" spans="3:12" ht="15" hidden="1" customHeight="1">
      <c r="C507" s="415"/>
      <c r="D507" s="194"/>
      <c r="E507" s="414"/>
      <c r="F507" s="194"/>
      <c r="G507" s="194"/>
      <c r="H507" s="414"/>
      <c r="I507" s="194"/>
      <c r="J507" s="183"/>
    </row>
    <row r="508" spans="3:12" ht="15" hidden="1" customHeight="1">
      <c r="C508" s="199"/>
      <c r="D508" s="400"/>
      <c r="E508" s="400"/>
      <c r="F508" s="400"/>
      <c r="G508" s="400"/>
      <c r="H508" s="400"/>
      <c r="I508" s="422"/>
      <c r="J508" s="186"/>
    </row>
    <row r="509" spans="3:12" ht="15" hidden="1" customHeight="1">
      <c r="C509" s="181"/>
      <c r="D509" s="536"/>
      <c r="E509" s="536"/>
      <c r="F509" s="536"/>
      <c r="G509" s="536"/>
      <c r="H509" s="536"/>
      <c r="I509" s="181"/>
      <c r="J509" s="143"/>
    </row>
    <row r="510" spans="3:12" ht="15" hidden="1" customHeight="1">
      <c r="C510" s="198"/>
      <c r="D510" s="412"/>
      <c r="E510" s="412"/>
      <c r="F510" s="412"/>
      <c r="G510" s="412"/>
      <c r="H510" s="412"/>
      <c r="I510" s="421"/>
      <c r="J510" s="184"/>
    </row>
    <row r="511" spans="3:12" ht="15" hidden="1" customHeight="1">
      <c r="C511" s="415"/>
      <c r="D511" s="194"/>
      <c r="E511" s="414"/>
      <c r="F511" s="194"/>
      <c r="G511" s="194"/>
      <c r="H511" s="194"/>
      <c r="I511" s="413"/>
      <c r="J511" s="183"/>
    </row>
    <row r="512" spans="3:12" ht="15" hidden="1" customHeight="1">
      <c r="C512" s="415"/>
      <c r="D512" s="194"/>
      <c r="E512" s="414"/>
      <c r="F512" s="194"/>
      <c r="G512" s="194"/>
      <c r="H512" s="194"/>
      <c r="I512" s="413"/>
      <c r="J512" s="183"/>
    </row>
    <row r="513" spans="3:10" ht="15" hidden="1" customHeight="1">
      <c r="C513" s="415"/>
      <c r="D513" s="194"/>
      <c r="E513" s="195"/>
      <c r="F513" s="194"/>
      <c r="G513" s="194"/>
      <c r="H513" s="194"/>
      <c r="I513" s="413"/>
      <c r="J513" s="183"/>
    </row>
    <row r="514" spans="3:10" ht="15" hidden="1" customHeight="1">
      <c r="C514" s="199"/>
      <c r="D514" s="400"/>
      <c r="E514" s="428"/>
      <c r="F514" s="400"/>
      <c r="G514" s="400"/>
      <c r="H514" s="400"/>
      <c r="I514" s="422"/>
      <c r="J514" s="186"/>
    </row>
    <row r="515" spans="3:10" ht="15" hidden="1" customHeight="1">
      <c r="C515" s="176"/>
      <c r="D515" s="536"/>
      <c r="E515" s="536"/>
      <c r="F515" s="536"/>
      <c r="G515" s="536"/>
      <c r="H515" s="536"/>
      <c r="I515" s="181"/>
      <c r="J515" s="144"/>
    </row>
    <row r="516" spans="3:10" ht="15" hidden="1" customHeight="1">
      <c r="C516" s="198"/>
      <c r="D516" s="412"/>
      <c r="E516" s="412"/>
      <c r="F516" s="412"/>
      <c r="G516" s="412"/>
      <c r="H516" s="412"/>
      <c r="I516" s="421"/>
      <c r="J516" s="184"/>
    </row>
    <row r="517" spans="3:10" ht="15" hidden="1" customHeight="1">
      <c r="C517" s="415"/>
      <c r="D517" s="194"/>
      <c r="E517" s="414"/>
      <c r="F517" s="194"/>
      <c r="G517" s="194"/>
      <c r="H517" s="414"/>
      <c r="I517" s="413"/>
      <c r="J517" s="183"/>
    </row>
    <row r="518" spans="3:10" ht="15" hidden="1" customHeight="1">
      <c r="C518" s="415"/>
      <c r="D518" s="194"/>
      <c r="E518" s="414"/>
      <c r="F518" s="194"/>
      <c r="G518" s="194"/>
      <c r="H518" s="414"/>
      <c r="I518" s="413"/>
      <c r="J518" s="183"/>
    </row>
    <row r="519" spans="3:10" ht="15" hidden="1" customHeight="1">
      <c r="C519" s="415"/>
      <c r="D519" s="194"/>
      <c r="E519" s="414"/>
      <c r="F519" s="194"/>
      <c r="G519" s="194"/>
      <c r="H519" s="414"/>
      <c r="I519" s="413"/>
      <c r="J519" s="183"/>
    </row>
    <row r="520" spans="3:10" ht="15" hidden="1" customHeight="1">
      <c r="C520" s="415"/>
      <c r="D520" s="194"/>
      <c r="E520" s="414"/>
      <c r="F520" s="194"/>
      <c r="G520" s="194"/>
      <c r="H520" s="414"/>
      <c r="I520" s="413"/>
      <c r="J520" s="183"/>
    </row>
    <row r="521" spans="3:10" ht="15" hidden="1" customHeight="1">
      <c r="C521" s="415"/>
      <c r="D521" s="194"/>
      <c r="E521" s="195"/>
      <c r="F521" s="194"/>
      <c r="G521" s="194"/>
      <c r="H521" s="414"/>
      <c r="I521" s="413"/>
      <c r="J521" s="183"/>
    </row>
    <row r="522" spans="3:10" ht="15" hidden="1" customHeight="1">
      <c r="C522" s="415"/>
      <c r="D522" s="194"/>
      <c r="E522" s="194"/>
      <c r="F522" s="194"/>
      <c r="G522" s="194"/>
      <c r="H522" s="194"/>
      <c r="I522" s="413"/>
      <c r="J522" s="183"/>
    </row>
    <row r="523" spans="3:10" ht="15" hidden="1" customHeight="1">
      <c r="C523" s="176"/>
      <c r="D523" s="534"/>
      <c r="E523" s="534"/>
      <c r="F523" s="534"/>
      <c r="G523" s="534"/>
      <c r="H523" s="534"/>
      <c r="I523" s="176"/>
      <c r="J523" s="145"/>
    </row>
    <row r="524" spans="3:10" ht="15" hidden="1" customHeight="1">
      <c r="C524" s="198"/>
      <c r="D524" s="412"/>
      <c r="E524" s="412"/>
      <c r="F524" s="412"/>
      <c r="G524" s="412"/>
      <c r="H524" s="412"/>
      <c r="I524" s="421"/>
      <c r="J524" s="184"/>
    </row>
    <row r="525" spans="3:10" ht="15" hidden="1" customHeight="1">
      <c r="C525" s="415"/>
      <c r="D525" s="194"/>
      <c r="E525" s="414"/>
      <c r="F525" s="194"/>
      <c r="G525" s="194"/>
      <c r="H525" s="414"/>
      <c r="I525" s="413"/>
      <c r="J525" s="183"/>
    </row>
    <row r="526" spans="3:10" ht="15" hidden="1" customHeight="1">
      <c r="C526" s="415"/>
      <c r="D526" s="194"/>
      <c r="E526" s="414"/>
      <c r="F526" s="194"/>
      <c r="G526" s="194"/>
      <c r="H526" s="414"/>
      <c r="I526" s="413"/>
      <c r="J526" s="183"/>
    </row>
    <row r="527" spans="3:10" ht="15" hidden="1" customHeight="1">
      <c r="C527" s="415"/>
      <c r="D527" s="194"/>
      <c r="E527" s="195"/>
      <c r="F527" s="194"/>
      <c r="G527" s="194"/>
      <c r="H527" s="414"/>
      <c r="I527" s="413"/>
      <c r="J527" s="183"/>
    </row>
    <row r="528" spans="3:10" ht="15" hidden="1" customHeight="1">
      <c r="C528" s="415"/>
      <c r="D528" s="194"/>
      <c r="E528" s="194"/>
      <c r="F528" s="194"/>
      <c r="G528" s="194"/>
      <c r="H528" s="194"/>
      <c r="I528" s="413"/>
      <c r="J528" s="183"/>
    </row>
    <row r="529" spans="3:19" ht="15" hidden="1" customHeight="1">
      <c r="C529" s="176"/>
      <c r="D529" s="534"/>
      <c r="E529" s="534"/>
      <c r="F529" s="534"/>
      <c r="G529" s="534"/>
      <c r="H529" s="534"/>
      <c r="I529" s="176"/>
      <c r="J529" s="145"/>
    </row>
    <row r="530" spans="3:19" ht="15" hidden="1" customHeight="1">
      <c r="C530" s="176"/>
      <c r="D530" s="534"/>
      <c r="E530" s="534"/>
      <c r="F530" s="534"/>
      <c r="G530" s="534"/>
      <c r="H530" s="534"/>
      <c r="I530" s="176"/>
      <c r="J530" s="145"/>
    </row>
    <row r="531" spans="3:19" s="140" customFormat="1" ht="15" hidden="1" customHeight="1">
      <c r="C531" s="176"/>
      <c r="D531" s="534"/>
      <c r="E531" s="534"/>
      <c r="F531" s="534"/>
      <c r="G531" s="534"/>
      <c r="H531" s="534"/>
      <c r="I531" s="176"/>
      <c r="J531" s="145"/>
      <c r="K531" s="141"/>
      <c r="M531" s="142"/>
      <c r="N531" s="142"/>
      <c r="O531" s="142"/>
      <c r="P531" s="142"/>
      <c r="Q531" s="142"/>
    </row>
    <row r="532" spans="3:19" s="140" customFormat="1" ht="15" hidden="1" customHeight="1">
      <c r="C532" s="176"/>
      <c r="D532" s="534"/>
      <c r="E532" s="534"/>
      <c r="F532" s="534"/>
      <c r="G532" s="534"/>
      <c r="H532" s="534"/>
      <c r="I532" s="176"/>
      <c r="J532" s="145"/>
      <c r="K532" s="141"/>
      <c r="M532" s="142"/>
      <c r="N532" s="142"/>
      <c r="O532" s="142"/>
      <c r="P532" s="142"/>
      <c r="Q532" s="142"/>
    </row>
    <row r="533" spans="3:19" ht="15" hidden="1" customHeight="1">
      <c r="C533" s="415"/>
      <c r="D533" s="420"/>
      <c r="E533" s="197"/>
      <c r="F533" s="194"/>
      <c r="G533" s="194"/>
      <c r="H533" s="414"/>
      <c r="I533" s="194"/>
      <c r="J533" s="183"/>
      <c r="M533" s="129"/>
      <c r="N533" s="129"/>
      <c r="O533" s="129"/>
      <c r="P533" s="129"/>
      <c r="Q533" s="129"/>
      <c r="R533" s="129"/>
      <c r="S533" s="129"/>
    </row>
    <row r="534" spans="3:19" ht="15" hidden="1" customHeight="1">
      <c r="C534" s="415"/>
      <c r="D534" s="194"/>
      <c r="E534" s="414"/>
      <c r="F534" s="194"/>
      <c r="G534" s="194"/>
      <c r="H534" s="414"/>
      <c r="I534" s="194"/>
      <c r="J534" s="183"/>
      <c r="M534" s="129"/>
      <c r="N534" s="129"/>
      <c r="O534" s="129"/>
      <c r="P534" s="129"/>
      <c r="Q534" s="129"/>
      <c r="R534" s="129"/>
      <c r="S534" s="129"/>
    </row>
    <row r="535" spans="3:19" ht="15" hidden="1" customHeight="1">
      <c r="C535" s="415"/>
      <c r="D535" s="194"/>
      <c r="E535" s="195"/>
      <c r="F535" s="194"/>
      <c r="G535" s="194"/>
      <c r="H535" s="414"/>
      <c r="I535" s="194"/>
      <c r="J535" s="183"/>
      <c r="M535" s="129"/>
      <c r="N535" s="129"/>
      <c r="O535" s="129"/>
      <c r="P535" s="129"/>
      <c r="Q535" s="129"/>
      <c r="R535" s="129"/>
      <c r="S535" s="129"/>
    </row>
    <row r="536" spans="3:19" ht="15" hidden="1" customHeight="1">
      <c r="C536" s="176"/>
      <c r="D536" s="534"/>
      <c r="E536" s="534"/>
      <c r="F536" s="534"/>
      <c r="G536" s="534"/>
      <c r="H536" s="534"/>
      <c r="I536" s="176"/>
      <c r="J536" s="145"/>
      <c r="M536" s="129"/>
      <c r="N536" s="129"/>
      <c r="O536" s="129"/>
      <c r="P536" s="129"/>
      <c r="Q536" s="129"/>
      <c r="R536" s="129"/>
      <c r="S536" s="129"/>
    </row>
    <row r="537" spans="3:19" ht="15" hidden="1" customHeight="1">
      <c r="C537" s="415"/>
      <c r="D537" s="539"/>
      <c r="E537" s="539"/>
      <c r="F537" s="194"/>
      <c r="G537" s="194"/>
      <c r="H537" s="414"/>
      <c r="I537" s="194"/>
      <c r="J537" s="183"/>
      <c r="M537" s="129"/>
      <c r="N537" s="129"/>
      <c r="O537" s="129"/>
      <c r="P537" s="129"/>
      <c r="Q537" s="129"/>
      <c r="R537" s="129"/>
      <c r="S537" s="129"/>
    </row>
    <row r="538" spans="3:19" ht="15" hidden="1" customHeight="1">
      <c r="C538" s="415"/>
      <c r="D538" s="194"/>
      <c r="E538" s="414"/>
      <c r="F538" s="194"/>
      <c r="G538" s="194"/>
      <c r="H538" s="414"/>
      <c r="I538" s="194"/>
      <c r="J538" s="183"/>
      <c r="M538" s="129"/>
      <c r="N538" s="129"/>
      <c r="O538" s="129"/>
      <c r="P538" s="129"/>
      <c r="Q538" s="129"/>
      <c r="R538" s="129"/>
      <c r="S538" s="129"/>
    </row>
    <row r="539" spans="3:19" ht="15" hidden="1" customHeight="1">
      <c r="C539" s="415"/>
      <c r="D539" s="194"/>
      <c r="E539" s="251"/>
      <c r="F539" s="194"/>
      <c r="G539" s="194"/>
      <c r="H539" s="414"/>
      <c r="I539" s="194"/>
      <c r="J539" s="183"/>
      <c r="M539" s="129"/>
      <c r="N539" s="129"/>
      <c r="O539" s="129"/>
      <c r="P539" s="129"/>
      <c r="Q539" s="129"/>
      <c r="R539" s="129"/>
      <c r="S539" s="129"/>
    </row>
    <row r="540" spans="3:19" ht="15" hidden="1" customHeight="1">
      <c r="C540" s="415"/>
      <c r="D540" s="194"/>
      <c r="E540" s="414"/>
      <c r="F540" s="194"/>
      <c r="G540" s="194"/>
      <c r="H540" s="414"/>
      <c r="I540" s="194"/>
      <c r="J540" s="183"/>
      <c r="M540" s="129"/>
      <c r="N540" s="129"/>
      <c r="O540" s="129"/>
      <c r="P540" s="129"/>
      <c r="Q540" s="129"/>
      <c r="R540" s="129"/>
      <c r="S540" s="129"/>
    </row>
    <row r="541" spans="3:19" ht="15" hidden="1" customHeight="1">
      <c r="C541" s="415"/>
      <c r="D541" s="194"/>
      <c r="E541" s="195"/>
      <c r="F541" s="194"/>
      <c r="G541" s="194"/>
      <c r="H541" s="414"/>
      <c r="I541" s="194"/>
      <c r="J541" s="183"/>
      <c r="M541" s="129"/>
      <c r="N541" s="129"/>
      <c r="O541" s="129"/>
      <c r="P541" s="129"/>
      <c r="Q541" s="129"/>
      <c r="R541" s="129"/>
      <c r="S541" s="129"/>
    </row>
    <row r="542" spans="3:19" ht="15" hidden="1" customHeight="1">
      <c r="C542" s="416"/>
      <c r="D542" s="537"/>
      <c r="E542" s="537"/>
      <c r="F542" s="537"/>
      <c r="G542" s="537"/>
      <c r="H542" s="537"/>
      <c r="I542" s="176"/>
      <c r="J542" s="145"/>
    </row>
    <row r="543" spans="3:19" ht="15" hidden="1" customHeight="1">
      <c r="C543" s="416"/>
      <c r="D543" s="537"/>
      <c r="E543" s="537"/>
      <c r="F543" s="537"/>
      <c r="G543" s="537"/>
      <c r="H543" s="537"/>
      <c r="I543" s="176"/>
      <c r="J543" s="145"/>
      <c r="M543" s="129"/>
      <c r="N543" s="129"/>
      <c r="O543" s="129"/>
      <c r="P543" s="129"/>
      <c r="Q543" s="129"/>
      <c r="R543" s="129"/>
      <c r="S543" s="129"/>
    </row>
    <row r="544" spans="3:19" ht="15" hidden="1" customHeight="1">
      <c r="C544" s="176"/>
      <c r="D544" s="537"/>
      <c r="E544" s="537"/>
      <c r="F544" s="537"/>
      <c r="G544" s="537"/>
      <c r="H544" s="537"/>
      <c r="I544" s="176"/>
      <c r="J544" s="145"/>
      <c r="M544" s="129"/>
      <c r="N544" s="129"/>
      <c r="O544" s="129"/>
      <c r="P544" s="129"/>
      <c r="Q544" s="129"/>
      <c r="R544" s="129"/>
      <c r="S544" s="129"/>
    </row>
    <row r="545" spans="3:19" ht="15" hidden="1" customHeight="1">
      <c r="C545" s="176"/>
      <c r="D545" s="534"/>
      <c r="E545" s="534"/>
      <c r="F545" s="534"/>
      <c r="G545" s="534"/>
      <c r="H545" s="534"/>
      <c r="I545" s="176"/>
      <c r="J545" s="145"/>
      <c r="M545" s="129"/>
      <c r="N545" s="129"/>
      <c r="O545" s="129"/>
      <c r="P545" s="129"/>
      <c r="Q545" s="129"/>
      <c r="R545" s="129"/>
      <c r="S545" s="129"/>
    </row>
    <row r="546" spans="3:19" ht="15" hidden="1" customHeight="1">
      <c r="C546" s="176"/>
      <c r="D546" s="534"/>
      <c r="E546" s="534"/>
      <c r="F546" s="534"/>
      <c r="G546" s="534"/>
      <c r="H546" s="534"/>
      <c r="I546" s="176"/>
      <c r="J546" s="145"/>
    </row>
    <row r="547" spans="3:19" ht="15" hidden="1" customHeight="1">
      <c r="C547" s="176"/>
      <c r="D547" s="534"/>
      <c r="E547" s="534"/>
      <c r="F547" s="534"/>
      <c r="G547" s="534"/>
      <c r="H547" s="534"/>
      <c r="I547" s="176"/>
      <c r="J547" s="145"/>
    </row>
    <row r="548" spans="3:19" ht="15" hidden="1" customHeight="1">
      <c r="C548" s="176"/>
      <c r="D548" s="534"/>
      <c r="E548" s="534"/>
      <c r="F548" s="534"/>
      <c r="G548" s="534"/>
      <c r="H548" s="534"/>
      <c r="I548" s="176"/>
      <c r="J548" s="145"/>
    </row>
    <row r="549" spans="3:19" ht="15" hidden="1" customHeight="1">
      <c r="C549" s="176"/>
      <c r="D549" s="534"/>
      <c r="E549" s="534"/>
      <c r="F549" s="534"/>
      <c r="G549" s="534"/>
      <c r="H549" s="534"/>
      <c r="I549" s="176"/>
      <c r="J549" s="145"/>
    </row>
    <row r="550" spans="3:19" ht="15" hidden="1" customHeight="1">
      <c r="C550" s="176"/>
      <c r="D550" s="534"/>
      <c r="E550" s="534"/>
      <c r="F550" s="534"/>
      <c r="G550" s="534"/>
      <c r="H550" s="534"/>
      <c r="I550" s="176"/>
      <c r="J550" s="145"/>
    </row>
    <row r="551" spans="3:19" ht="15" hidden="1" customHeight="1">
      <c r="C551" s="176"/>
      <c r="D551" s="534"/>
      <c r="E551" s="534"/>
      <c r="F551" s="534"/>
      <c r="G551" s="534"/>
      <c r="H551" s="534"/>
      <c r="I551" s="176"/>
      <c r="J551" s="145"/>
    </row>
    <row r="552" spans="3:19" ht="15" hidden="1" customHeight="1">
      <c r="C552" s="176"/>
      <c r="D552" s="534"/>
      <c r="E552" s="534"/>
      <c r="F552" s="534"/>
      <c r="G552" s="534"/>
      <c r="H552" s="534"/>
      <c r="I552" s="176"/>
      <c r="J552" s="145"/>
    </row>
    <row r="553" spans="3:19" ht="15" hidden="1" customHeight="1">
      <c r="C553" s="176"/>
      <c r="D553" s="537"/>
      <c r="E553" s="537"/>
      <c r="F553" s="537"/>
      <c r="G553" s="537"/>
      <c r="H553" s="537"/>
      <c r="I553" s="176"/>
      <c r="J553" s="145"/>
    </row>
    <row r="554" spans="3:19" s="140" customFormat="1" ht="15" hidden="1" customHeight="1">
      <c r="C554" s="176"/>
      <c r="D554" s="534"/>
      <c r="E554" s="534"/>
      <c r="F554" s="534"/>
      <c r="G554" s="534"/>
      <c r="H554" s="534"/>
      <c r="I554" s="176"/>
      <c r="J554" s="145"/>
      <c r="K554" s="141"/>
      <c r="M554" s="142"/>
      <c r="N554" s="142"/>
      <c r="O554" s="142"/>
      <c r="P554" s="142"/>
      <c r="Q554" s="142"/>
    </row>
    <row r="555" spans="3:19" ht="15" hidden="1" customHeight="1">
      <c r="C555" s="198"/>
      <c r="D555" s="412"/>
      <c r="E555" s="412"/>
      <c r="F555" s="412"/>
      <c r="G555" s="412"/>
      <c r="H555" s="412"/>
      <c r="I555" s="421"/>
      <c r="J555" s="184"/>
    </row>
    <row r="556" spans="3:19" ht="15" hidden="1" customHeight="1">
      <c r="C556" s="415"/>
      <c r="D556" s="194"/>
      <c r="E556" s="414"/>
      <c r="F556" s="194"/>
      <c r="G556" s="194"/>
      <c r="H556" s="194"/>
      <c r="I556" s="413"/>
      <c r="J556" s="183"/>
    </row>
    <row r="557" spans="3:19" ht="15" hidden="1" customHeight="1">
      <c r="C557" s="415"/>
      <c r="D557" s="194"/>
      <c r="E557" s="414"/>
      <c r="F557" s="194"/>
      <c r="G557" s="194"/>
      <c r="H557" s="194"/>
      <c r="I557" s="413"/>
      <c r="J557" s="183"/>
    </row>
    <row r="558" spans="3:19" ht="15" hidden="1" customHeight="1">
      <c r="C558" s="415"/>
      <c r="D558" s="194"/>
      <c r="E558" s="428"/>
      <c r="F558" s="194"/>
      <c r="G558" s="194"/>
      <c r="H558" s="194"/>
      <c r="I558" s="413"/>
      <c r="J558" s="183"/>
    </row>
    <row r="559" spans="3:19" ht="15" hidden="1" customHeight="1">
      <c r="C559" s="415"/>
      <c r="D559" s="194"/>
      <c r="E559" s="414"/>
      <c r="F559" s="194"/>
      <c r="G559" s="194"/>
      <c r="H559" s="194"/>
      <c r="I559" s="413"/>
      <c r="J559" s="183"/>
    </row>
    <row r="560" spans="3:19" ht="15" hidden="1" customHeight="1">
      <c r="C560" s="199"/>
      <c r="D560" s="400"/>
      <c r="E560" s="400"/>
      <c r="F560" s="400"/>
      <c r="G560" s="400"/>
      <c r="H560" s="400"/>
      <c r="I560" s="422"/>
      <c r="J560" s="186"/>
    </row>
    <row r="561" spans="3:19" s="140" customFormat="1" ht="15" hidden="1" customHeight="1">
      <c r="C561" s="176"/>
      <c r="D561" s="534"/>
      <c r="E561" s="534"/>
      <c r="F561" s="534"/>
      <c r="G561" s="534"/>
      <c r="H561" s="534"/>
      <c r="I561" s="176"/>
      <c r="J561" s="145"/>
      <c r="K561" s="141"/>
      <c r="M561" s="142"/>
      <c r="N561" s="142"/>
      <c r="O561" s="142"/>
      <c r="P561" s="142"/>
      <c r="Q561" s="142"/>
    </row>
    <row r="562" spans="3:19" ht="15" hidden="1" customHeight="1">
      <c r="C562" s="176"/>
      <c r="D562" s="534"/>
      <c r="E562" s="534"/>
      <c r="F562" s="534"/>
      <c r="G562" s="534"/>
      <c r="H562" s="534"/>
      <c r="I562" s="176"/>
      <c r="J562" s="145"/>
      <c r="M562" s="129"/>
      <c r="N562" s="129"/>
      <c r="O562" s="129"/>
      <c r="P562" s="129"/>
      <c r="Q562" s="129"/>
      <c r="R562" s="129"/>
      <c r="S562" s="129"/>
    </row>
    <row r="563" spans="3:19" ht="15" hidden="1" customHeight="1">
      <c r="C563" s="176"/>
      <c r="D563" s="534"/>
      <c r="E563" s="534"/>
      <c r="F563" s="534"/>
      <c r="G563" s="534"/>
      <c r="H563" s="534"/>
      <c r="I563" s="176"/>
      <c r="J563" s="145"/>
      <c r="M563" s="129"/>
      <c r="N563" s="129"/>
      <c r="O563" s="129"/>
      <c r="P563" s="129"/>
      <c r="Q563" s="129"/>
      <c r="R563" s="129"/>
      <c r="S563" s="129"/>
    </row>
    <row r="564" spans="3:19" ht="15" hidden="1" customHeight="1">
      <c r="C564" s="176"/>
      <c r="D564" s="534"/>
      <c r="E564" s="534"/>
      <c r="F564" s="534"/>
      <c r="G564" s="534"/>
      <c r="H564" s="534"/>
      <c r="I564" s="176"/>
      <c r="J564" s="145"/>
    </row>
    <row r="565" spans="3:19" ht="15" hidden="1" customHeight="1">
      <c r="C565" s="176"/>
      <c r="D565" s="534"/>
      <c r="E565" s="534"/>
      <c r="F565" s="534"/>
      <c r="G565" s="534"/>
      <c r="H565" s="534"/>
      <c r="I565" s="176"/>
      <c r="J565" s="145"/>
    </row>
    <row r="566" spans="3:19" ht="15" hidden="1" customHeight="1">
      <c r="C566" s="176"/>
      <c r="D566" s="534"/>
      <c r="E566" s="534"/>
      <c r="F566" s="534"/>
      <c r="G566" s="534"/>
      <c r="H566" s="534"/>
      <c r="I566" s="176"/>
      <c r="J566" s="145"/>
    </row>
    <row r="567" spans="3:19" ht="15" hidden="1" customHeight="1">
      <c r="C567" s="198"/>
      <c r="D567" s="412"/>
      <c r="E567" s="412"/>
      <c r="F567" s="412"/>
      <c r="G567" s="412"/>
      <c r="H567" s="412"/>
      <c r="I567" s="421"/>
      <c r="J567" s="184"/>
    </row>
    <row r="568" spans="3:19" ht="15" hidden="1" customHeight="1">
      <c r="C568" s="415"/>
      <c r="D568" s="194"/>
      <c r="E568" s="414"/>
      <c r="F568" s="194"/>
      <c r="G568" s="194"/>
      <c r="H568" s="194"/>
      <c r="I568" s="413"/>
      <c r="J568" s="183"/>
    </row>
    <row r="569" spans="3:19" ht="15" hidden="1" customHeight="1">
      <c r="C569" s="415"/>
      <c r="D569" s="194"/>
      <c r="E569" s="414"/>
      <c r="F569" s="194"/>
      <c r="G569" s="194"/>
      <c r="H569" s="194"/>
      <c r="I569" s="413"/>
      <c r="J569" s="183"/>
    </row>
    <row r="570" spans="3:19" ht="15" hidden="1" customHeight="1">
      <c r="C570" s="415"/>
      <c r="D570" s="194"/>
      <c r="E570" s="195"/>
      <c r="F570" s="194"/>
      <c r="G570" s="194"/>
      <c r="H570" s="194"/>
      <c r="I570" s="413"/>
      <c r="J570" s="183"/>
    </row>
    <row r="571" spans="3:19" ht="15" hidden="1" customHeight="1">
      <c r="C571" s="199"/>
      <c r="D571" s="400"/>
      <c r="E571" s="400"/>
      <c r="F571" s="400"/>
      <c r="G571" s="400"/>
      <c r="H571" s="400"/>
      <c r="I571" s="422"/>
      <c r="J571" s="186"/>
    </row>
    <row r="572" spans="3:19" s="140" customFormat="1" ht="15" hidden="1" customHeight="1">
      <c r="C572" s="176"/>
      <c r="D572" s="537"/>
      <c r="E572" s="537"/>
      <c r="F572" s="537"/>
      <c r="G572" s="537"/>
      <c r="H572" s="537"/>
      <c r="I572" s="176"/>
      <c r="J572" s="145"/>
      <c r="K572" s="141"/>
      <c r="M572" s="142"/>
      <c r="N572" s="142"/>
      <c r="O572" s="142"/>
      <c r="P572" s="142"/>
      <c r="Q572" s="142"/>
    </row>
    <row r="573" spans="3:19" s="140" customFormat="1" ht="15" hidden="1" customHeight="1">
      <c r="C573" s="176"/>
      <c r="D573" s="534"/>
      <c r="E573" s="534"/>
      <c r="F573" s="534"/>
      <c r="G573" s="534"/>
      <c r="H573" s="534"/>
      <c r="I573" s="176"/>
      <c r="J573" s="145"/>
      <c r="K573" s="141"/>
      <c r="M573" s="142"/>
      <c r="N573" s="142"/>
      <c r="O573" s="142"/>
      <c r="P573" s="142"/>
      <c r="Q573" s="142"/>
    </row>
    <row r="574" spans="3:19" ht="15" hidden="1" customHeight="1">
      <c r="C574" s="176"/>
      <c r="D574" s="534"/>
      <c r="E574" s="534"/>
      <c r="F574" s="534"/>
      <c r="G574" s="534"/>
      <c r="H574" s="534"/>
      <c r="I574" s="176"/>
      <c r="J574" s="145"/>
      <c r="M574" s="129"/>
      <c r="N574" s="129"/>
      <c r="O574" s="129"/>
      <c r="P574" s="129"/>
      <c r="Q574" s="129"/>
      <c r="R574" s="129"/>
      <c r="S574" s="129"/>
    </row>
    <row r="575" spans="3:19" ht="15" hidden="1" customHeight="1">
      <c r="C575" s="416"/>
      <c r="D575" s="537"/>
      <c r="E575" s="537"/>
      <c r="F575" s="537"/>
      <c r="G575" s="537"/>
      <c r="H575" s="537"/>
      <c r="I575" s="176"/>
      <c r="J575" s="145"/>
      <c r="M575" s="129"/>
      <c r="N575" s="129"/>
      <c r="O575" s="129"/>
      <c r="P575" s="129"/>
      <c r="Q575" s="129"/>
      <c r="R575" s="129"/>
      <c r="S575" s="129"/>
    </row>
    <row r="576" spans="3:19" ht="15" hidden="1" customHeight="1">
      <c r="C576" s="176"/>
      <c r="D576" s="534"/>
      <c r="E576" s="534"/>
      <c r="F576" s="534"/>
      <c r="G576" s="534"/>
      <c r="H576" s="534"/>
      <c r="I576" s="176"/>
      <c r="J576" s="145"/>
    </row>
    <row r="577" spans="3:10" ht="15" hidden="1" customHeight="1">
      <c r="C577" s="416"/>
      <c r="D577" s="537"/>
      <c r="E577" s="537"/>
      <c r="F577" s="537"/>
      <c r="G577" s="537"/>
      <c r="H577" s="537"/>
      <c r="I577" s="176"/>
      <c r="J577" s="145"/>
    </row>
    <row r="578" spans="3:10" ht="15" hidden="1" customHeight="1">
      <c r="C578" s="198"/>
      <c r="D578" s="412"/>
      <c r="E578" s="412"/>
      <c r="F578" s="412"/>
      <c r="G578" s="412"/>
      <c r="H578" s="412"/>
      <c r="I578" s="421"/>
      <c r="J578" s="184"/>
    </row>
    <row r="579" spans="3:10" ht="15" hidden="1" customHeight="1">
      <c r="C579" s="415"/>
      <c r="D579" s="559"/>
      <c r="E579" s="560"/>
      <c r="F579" s="560"/>
      <c r="G579" s="560"/>
      <c r="H579" s="561"/>
      <c r="I579" s="179"/>
      <c r="J579" s="183"/>
    </row>
    <row r="580" spans="3:10" ht="15" hidden="1" customHeight="1">
      <c r="C580" s="415"/>
      <c r="D580" s="416"/>
      <c r="E580" s="416"/>
      <c r="F580" s="416"/>
      <c r="G580" s="416"/>
      <c r="H580" s="416"/>
      <c r="I580" s="425"/>
      <c r="J580" s="183"/>
    </row>
    <row r="581" spans="3:10" ht="15" hidden="1" customHeight="1">
      <c r="C581" s="415"/>
      <c r="D581" s="416"/>
      <c r="E581" s="190"/>
      <c r="F581" s="190"/>
      <c r="G581" s="190"/>
      <c r="H581" s="176"/>
      <c r="I581" s="192"/>
      <c r="J581" s="183"/>
    </row>
    <row r="582" spans="3:10" ht="15" hidden="1" customHeight="1">
      <c r="C582" s="415"/>
      <c r="D582" s="551"/>
      <c r="E582" s="551"/>
      <c r="F582" s="551"/>
      <c r="G582" s="551"/>
      <c r="H582" s="551"/>
      <c r="I582" s="192"/>
      <c r="J582" s="183"/>
    </row>
    <row r="583" spans="3:10" ht="15" hidden="1" customHeight="1">
      <c r="C583" s="415"/>
      <c r="D583" s="416"/>
      <c r="E583" s="416"/>
      <c r="F583" s="416"/>
      <c r="G583" s="416"/>
      <c r="H583" s="416"/>
      <c r="I583" s="192"/>
      <c r="J583" s="183"/>
    </row>
    <row r="584" spans="3:10" ht="15" hidden="1" customHeight="1">
      <c r="C584" s="415"/>
      <c r="D584" s="416"/>
      <c r="E584" s="190"/>
      <c r="F584" s="190"/>
      <c r="G584" s="190"/>
      <c r="H584" s="176"/>
      <c r="I584" s="192"/>
      <c r="J584" s="183"/>
    </row>
    <row r="585" spans="3:10" ht="15" hidden="1" customHeight="1">
      <c r="C585" s="415"/>
      <c r="D585" s="416"/>
      <c r="E585" s="190"/>
      <c r="F585" s="190"/>
      <c r="G585" s="190"/>
      <c r="H585" s="176"/>
      <c r="I585" s="192"/>
      <c r="J585" s="183"/>
    </row>
    <row r="586" spans="3:10" ht="15" hidden="1" customHeight="1">
      <c r="C586" s="415"/>
      <c r="D586" s="189"/>
      <c r="E586" s="193"/>
      <c r="F586" s="193"/>
      <c r="G586" s="193"/>
      <c r="H586" s="176"/>
      <c r="I586" s="192"/>
      <c r="J586" s="183"/>
    </row>
    <row r="587" spans="3:10" ht="15" hidden="1" customHeight="1">
      <c r="C587" s="415"/>
      <c r="D587" s="189"/>
      <c r="E587" s="193"/>
      <c r="F587" s="193"/>
      <c r="G587" s="193"/>
      <c r="H587" s="176"/>
      <c r="I587" s="192"/>
      <c r="J587" s="183"/>
    </row>
    <row r="588" spans="3:10" ht="15" hidden="1" customHeight="1">
      <c r="C588" s="415"/>
      <c r="D588" s="412"/>
      <c r="E588" s="412"/>
      <c r="F588" s="412"/>
      <c r="G588" s="412"/>
      <c r="H588" s="412"/>
      <c r="I588" s="413"/>
      <c r="J588" s="183"/>
    </row>
    <row r="589" spans="3:10" ht="15" hidden="1" customHeight="1">
      <c r="C589" s="415"/>
      <c r="D589" s="552"/>
      <c r="E589" s="552"/>
      <c r="F589" s="194"/>
      <c r="G589" s="194"/>
      <c r="H589" s="194"/>
      <c r="I589" s="413"/>
      <c r="J589" s="183"/>
    </row>
    <row r="590" spans="3:10" ht="15" hidden="1" customHeight="1">
      <c r="C590" s="199"/>
      <c r="D590" s="400"/>
      <c r="E590" s="400"/>
      <c r="F590" s="400"/>
      <c r="G590" s="400"/>
      <c r="H590" s="400"/>
      <c r="I590" s="422"/>
      <c r="J590" s="186"/>
    </row>
    <row r="591" spans="3:10" ht="15" hidden="1" customHeight="1">
      <c r="C591" s="198"/>
      <c r="D591" s="412"/>
      <c r="E591" s="412"/>
      <c r="F591" s="412"/>
      <c r="G591" s="412"/>
      <c r="H591" s="412"/>
      <c r="I591" s="421"/>
      <c r="J591" s="184"/>
    </row>
    <row r="592" spans="3:10" ht="15" hidden="1" customHeight="1">
      <c r="C592" s="327"/>
      <c r="D592" s="562"/>
      <c r="E592" s="563"/>
      <c r="F592" s="563"/>
      <c r="G592" s="563"/>
      <c r="H592" s="564"/>
      <c r="I592" s="292"/>
      <c r="J592" s="183"/>
    </row>
    <row r="593" spans="3:17" ht="15" hidden="1" customHeight="1">
      <c r="C593" s="327"/>
      <c r="D593" s="418"/>
      <c r="E593" s="418"/>
      <c r="F593" s="418"/>
      <c r="G593" s="418"/>
      <c r="H593" s="418"/>
      <c r="I593" s="312"/>
      <c r="J593" s="183"/>
    </row>
    <row r="594" spans="3:17" ht="15" hidden="1" customHeight="1">
      <c r="C594" s="327"/>
      <c r="D594" s="418"/>
      <c r="E594" s="276"/>
      <c r="F594" s="276"/>
      <c r="G594" s="276"/>
      <c r="H594" s="274"/>
      <c r="I594" s="313"/>
      <c r="J594" s="183"/>
    </row>
    <row r="595" spans="3:17" ht="15" hidden="1" customHeight="1">
      <c r="C595" s="327"/>
      <c r="D595" s="418"/>
      <c r="E595" s="276"/>
      <c r="F595" s="276"/>
      <c r="G595" s="276"/>
      <c r="H595" s="274"/>
      <c r="I595" s="313"/>
      <c r="J595" s="183"/>
    </row>
    <row r="596" spans="3:17" ht="15" hidden="1" customHeight="1">
      <c r="C596" s="327"/>
      <c r="D596" s="554"/>
      <c r="E596" s="554"/>
      <c r="F596" s="554"/>
      <c r="G596" s="554"/>
      <c r="H596" s="554"/>
      <c r="I596" s="313"/>
      <c r="J596" s="183"/>
    </row>
    <row r="597" spans="3:17" ht="15" hidden="1" customHeight="1">
      <c r="C597" s="327"/>
      <c r="D597" s="418"/>
      <c r="E597" s="418"/>
      <c r="F597" s="418"/>
      <c r="G597" s="418"/>
      <c r="H597" s="418"/>
      <c r="I597" s="313"/>
      <c r="J597" s="183"/>
    </row>
    <row r="598" spans="3:17" ht="15" hidden="1" customHeight="1">
      <c r="C598" s="327"/>
      <c r="D598" s="418"/>
      <c r="E598" s="276"/>
      <c r="F598" s="276"/>
      <c r="G598" s="276"/>
      <c r="H598" s="274"/>
      <c r="I598" s="313"/>
      <c r="J598" s="183"/>
    </row>
    <row r="599" spans="3:17" ht="15" hidden="1" customHeight="1">
      <c r="C599" s="327"/>
      <c r="D599" s="418"/>
      <c r="E599" s="276"/>
      <c r="F599" s="276"/>
      <c r="G599" s="276"/>
      <c r="H599" s="274"/>
      <c r="I599" s="313"/>
      <c r="J599" s="183"/>
    </row>
    <row r="600" spans="3:17" ht="15" hidden="1" customHeight="1">
      <c r="C600" s="327"/>
      <c r="D600" s="314"/>
      <c r="E600" s="315"/>
      <c r="F600" s="315"/>
      <c r="G600" s="315"/>
      <c r="H600" s="274"/>
      <c r="I600" s="313"/>
      <c r="J600" s="183"/>
    </row>
    <row r="601" spans="3:17" ht="15" hidden="1" customHeight="1">
      <c r="C601" s="327"/>
      <c r="D601" s="314"/>
      <c r="E601" s="315"/>
      <c r="F601" s="315"/>
      <c r="G601" s="315"/>
      <c r="H601" s="274"/>
      <c r="I601" s="313"/>
      <c r="J601" s="183"/>
    </row>
    <row r="602" spans="3:17" ht="15" hidden="1" customHeight="1">
      <c r="C602" s="327"/>
      <c r="D602" s="293"/>
      <c r="E602" s="293"/>
      <c r="F602" s="293"/>
      <c r="G602" s="293"/>
      <c r="H602" s="293"/>
      <c r="I602" s="423"/>
      <c r="J602" s="183"/>
    </row>
    <row r="603" spans="3:17" ht="15" hidden="1" customHeight="1">
      <c r="C603" s="327"/>
      <c r="D603" s="549"/>
      <c r="E603" s="549"/>
      <c r="F603" s="426"/>
      <c r="G603" s="426"/>
      <c r="H603" s="426"/>
      <c r="I603" s="423"/>
      <c r="J603" s="183"/>
    </row>
    <row r="604" spans="3:17" ht="15" hidden="1" customHeight="1">
      <c r="C604" s="199"/>
      <c r="D604" s="400"/>
      <c r="E604" s="400"/>
      <c r="F604" s="400"/>
      <c r="G604" s="400"/>
      <c r="H604" s="400"/>
      <c r="I604" s="422"/>
      <c r="J604" s="186"/>
    </row>
    <row r="605" spans="3:17" ht="15" hidden="1" customHeight="1">
      <c r="C605" s="176"/>
      <c r="D605" s="534"/>
      <c r="E605" s="534"/>
      <c r="F605" s="534"/>
      <c r="G605" s="534"/>
      <c r="H605" s="534"/>
      <c r="I605" s="176"/>
      <c r="J605" s="145"/>
    </row>
    <row r="606" spans="3:17" ht="15" hidden="1" customHeight="1">
      <c r="C606" s="176"/>
      <c r="D606" s="534"/>
      <c r="E606" s="534"/>
      <c r="F606" s="534"/>
      <c r="G606" s="534"/>
      <c r="H606" s="534"/>
      <c r="I606" s="176"/>
      <c r="J606" s="145"/>
    </row>
    <row r="607" spans="3:17" ht="15" hidden="1" customHeight="1">
      <c r="C607" s="176"/>
      <c r="D607" s="534"/>
      <c r="E607" s="534"/>
      <c r="F607" s="534"/>
      <c r="G607" s="534"/>
      <c r="H607" s="534"/>
      <c r="I607" s="176"/>
      <c r="J607" s="145"/>
      <c r="M607" s="269"/>
    </row>
    <row r="608" spans="3:17" s="140" customFormat="1" ht="15" hidden="1" customHeight="1">
      <c r="C608" s="176"/>
      <c r="D608" s="534"/>
      <c r="E608" s="534"/>
      <c r="F608" s="534"/>
      <c r="G608" s="534"/>
      <c r="H608" s="534"/>
      <c r="I608" s="176"/>
      <c r="J608" s="145"/>
      <c r="K608" s="141"/>
      <c r="M608" s="142"/>
      <c r="N608" s="142"/>
      <c r="O608" s="142"/>
      <c r="P608" s="142"/>
      <c r="Q608" s="142"/>
    </row>
    <row r="609" spans="3:19" s="140" customFormat="1" ht="15" hidden="1" customHeight="1">
      <c r="C609" s="176"/>
      <c r="D609" s="534"/>
      <c r="E609" s="534"/>
      <c r="F609" s="534"/>
      <c r="G609" s="534"/>
      <c r="H609" s="534"/>
      <c r="I609" s="176"/>
      <c r="J609" s="145"/>
      <c r="K609" s="141"/>
      <c r="M609" s="142"/>
      <c r="N609" s="142"/>
      <c r="O609" s="142"/>
      <c r="P609" s="142"/>
      <c r="Q609" s="142"/>
    </row>
    <row r="610" spans="3:19" s="140" customFormat="1" ht="15" hidden="1" customHeight="1">
      <c r="C610" s="189"/>
      <c r="D610" s="556"/>
      <c r="E610" s="556"/>
      <c r="F610" s="556"/>
      <c r="G610" s="556"/>
      <c r="H610" s="556"/>
      <c r="I610" s="177"/>
      <c r="J610" s="151"/>
      <c r="K610" s="141"/>
      <c r="M610" s="142"/>
      <c r="N610" s="142"/>
      <c r="O610" s="142"/>
      <c r="P610" s="142"/>
      <c r="Q610" s="142"/>
    </row>
    <row r="611" spans="3:19" ht="15" hidden="1" customHeight="1">
      <c r="C611" s="198"/>
      <c r="D611" s="412"/>
      <c r="E611" s="412"/>
      <c r="F611" s="412"/>
      <c r="G611" s="412"/>
      <c r="H611" s="412"/>
      <c r="I611" s="421"/>
      <c r="J611" s="184"/>
    </row>
    <row r="612" spans="3:19" ht="15" hidden="1" customHeight="1">
      <c r="C612" s="415"/>
      <c r="D612" s="551"/>
      <c r="E612" s="551"/>
      <c r="F612" s="551"/>
      <c r="G612" s="551"/>
      <c r="H612" s="551"/>
      <c r="I612" s="551"/>
      <c r="J612" s="183"/>
    </row>
    <row r="613" spans="3:19" ht="15" hidden="1" customHeight="1">
      <c r="C613" s="415"/>
      <c r="D613" s="416"/>
      <c r="E613" s="416"/>
      <c r="F613" s="416"/>
      <c r="G613" s="416"/>
      <c r="H613" s="416"/>
      <c r="I613" s="416"/>
      <c r="J613" s="183"/>
    </row>
    <row r="614" spans="3:19" ht="15" hidden="1" customHeight="1">
      <c r="C614" s="415"/>
      <c r="D614" s="416"/>
      <c r="E614" s="190"/>
      <c r="F614" s="190"/>
      <c r="G614" s="190"/>
      <c r="H614" s="176"/>
      <c r="I614" s="191"/>
      <c r="J614" s="183"/>
    </row>
    <row r="615" spans="3:19" ht="15" hidden="1" customHeight="1">
      <c r="C615" s="415"/>
      <c r="D615" s="176"/>
      <c r="E615" s="190"/>
      <c r="F615" s="190"/>
      <c r="G615" s="190"/>
      <c r="H615" s="190"/>
      <c r="I615" s="191"/>
      <c r="J615" s="183"/>
    </row>
    <row r="616" spans="3:19" ht="15" hidden="1" customHeight="1">
      <c r="C616" s="415"/>
      <c r="D616" s="176"/>
      <c r="E616" s="190"/>
      <c r="F616" s="190"/>
      <c r="G616" s="190"/>
      <c r="H616" s="190"/>
      <c r="I616" s="191"/>
      <c r="J616" s="183"/>
    </row>
    <row r="617" spans="3:19" ht="15" hidden="1" customHeight="1">
      <c r="C617" s="415"/>
      <c r="D617" s="176"/>
      <c r="E617" s="190"/>
      <c r="F617" s="190"/>
      <c r="G617" s="190"/>
      <c r="H617" s="190"/>
      <c r="I617" s="191"/>
      <c r="J617" s="183"/>
    </row>
    <row r="618" spans="3:19" ht="15" hidden="1" customHeight="1">
      <c r="C618" s="415"/>
      <c r="D618" s="416"/>
      <c r="E618" s="190"/>
      <c r="F618" s="190"/>
      <c r="G618" s="190"/>
      <c r="H618" s="176"/>
      <c r="I618" s="191"/>
      <c r="J618" s="183"/>
    </row>
    <row r="619" spans="3:19" ht="15" hidden="1" customHeight="1">
      <c r="C619" s="415"/>
      <c r="D619" s="176"/>
      <c r="E619" s="190"/>
      <c r="F619" s="190"/>
      <c r="G619" s="190"/>
      <c r="H619" s="252"/>
      <c r="I619" s="191"/>
      <c r="J619" s="183"/>
    </row>
    <row r="620" spans="3:19" ht="15" hidden="1" customHeight="1">
      <c r="C620" s="415"/>
      <c r="D620" s="194"/>
      <c r="E620" s="194"/>
      <c r="F620" s="194"/>
      <c r="G620" s="194"/>
      <c r="H620" s="194"/>
      <c r="I620" s="413"/>
      <c r="J620" s="183"/>
    </row>
    <row r="621" spans="3:19" ht="15" hidden="1" customHeight="1">
      <c r="C621" s="415"/>
      <c r="D621" s="552"/>
      <c r="E621" s="552"/>
      <c r="F621" s="194"/>
      <c r="G621" s="194"/>
      <c r="H621" s="194"/>
      <c r="I621" s="413"/>
      <c r="J621" s="183"/>
    </row>
    <row r="622" spans="3:19" ht="15" hidden="1" customHeight="1">
      <c r="C622" s="199"/>
      <c r="D622" s="400"/>
      <c r="E622" s="400"/>
      <c r="F622" s="400"/>
      <c r="G622" s="400"/>
      <c r="H622" s="400"/>
      <c r="I622" s="422"/>
      <c r="J622" s="186"/>
    </row>
    <row r="623" spans="3:19" ht="15" hidden="1" customHeight="1">
      <c r="C623" s="181"/>
      <c r="D623" s="557"/>
      <c r="E623" s="557"/>
      <c r="F623" s="557"/>
      <c r="G623" s="557"/>
      <c r="H623" s="557"/>
      <c r="I623" s="205"/>
      <c r="J623" s="253"/>
      <c r="M623" s="129"/>
      <c r="N623" s="129"/>
      <c r="O623" s="129"/>
      <c r="P623" s="129"/>
      <c r="Q623" s="129"/>
      <c r="R623" s="129"/>
      <c r="S623" s="129"/>
    </row>
    <row r="624" spans="3:19" ht="15" hidden="1" customHeight="1">
      <c r="C624" s="199"/>
      <c r="D624" s="558"/>
      <c r="E624" s="558"/>
      <c r="F624" s="558"/>
      <c r="G624" s="558"/>
      <c r="H624" s="558"/>
      <c r="I624" s="419"/>
      <c r="J624" s="340"/>
      <c r="M624" s="129"/>
      <c r="N624" s="129"/>
      <c r="O624" s="129"/>
      <c r="P624" s="129"/>
      <c r="Q624" s="129"/>
      <c r="R624" s="129"/>
      <c r="S624" s="129"/>
    </row>
    <row r="625" spans="3:19" ht="15" hidden="1" customHeight="1">
      <c r="C625" s="181"/>
      <c r="D625" s="536"/>
      <c r="E625" s="536"/>
      <c r="F625" s="536"/>
      <c r="G625" s="536"/>
      <c r="H625" s="536"/>
      <c r="I625" s="181"/>
      <c r="J625" s="231"/>
      <c r="M625" s="129"/>
      <c r="N625" s="129"/>
      <c r="O625" s="129"/>
      <c r="P625" s="129"/>
      <c r="Q625" s="129"/>
      <c r="R625" s="129"/>
      <c r="S625" s="129"/>
    </row>
    <row r="626" spans="3:19" ht="15" hidden="1" customHeight="1">
      <c r="C626" s="198"/>
      <c r="D626" s="412"/>
      <c r="E626" s="412"/>
      <c r="F626" s="412"/>
      <c r="G626" s="412"/>
      <c r="H626" s="412"/>
      <c r="I626" s="421"/>
      <c r="J626" s="341"/>
      <c r="M626" s="129"/>
      <c r="N626" s="129"/>
      <c r="O626" s="129"/>
      <c r="P626" s="129"/>
      <c r="Q626" s="129"/>
      <c r="R626" s="129"/>
      <c r="S626" s="129"/>
    </row>
    <row r="627" spans="3:19" ht="15" hidden="1" customHeight="1">
      <c r="C627" s="415"/>
      <c r="D627" s="553"/>
      <c r="E627" s="553"/>
      <c r="F627" s="553"/>
      <c r="G627" s="197"/>
      <c r="H627" s="194"/>
      <c r="I627" s="140"/>
      <c r="J627" s="340"/>
      <c r="M627" s="129"/>
      <c r="N627" s="129"/>
      <c r="O627" s="129"/>
      <c r="P627" s="129"/>
      <c r="Q627" s="129"/>
      <c r="R627" s="129"/>
      <c r="S627" s="129"/>
    </row>
    <row r="628" spans="3:19" ht="15" hidden="1" customHeight="1">
      <c r="C628" s="199"/>
      <c r="D628" s="400"/>
      <c r="E628" s="400"/>
      <c r="F628" s="400"/>
      <c r="G628" s="400"/>
      <c r="H628" s="400"/>
      <c r="I628" s="422"/>
      <c r="J628" s="342"/>
      <c r="M628" s="129"/>
      <c r="N628" s="129"/>
      <c r="O628" s="129"/>
      <c r="P628" s="129"/>
      <c r="Q628" s="129"/>
      <c r="R628" s="129"/>
      <c r="S628" s="129"/>
    </row>
    <row r="629" spans="3:19" ht="15" hidden="1" customHeight="1">
      <c r="C629" s="198"/>
      <c r="D629" s="412"/>
      <c r="E629" s="412"/>
      <c r="F629" s="412"/>
      <c r="G629" s="412"/>
      <c r="H629" s="412"/>
      <c r="I629" s="421"/>
      <c r="J629" s="341"/>
      <c r="M629" s="129"/>
      <c r="N629" s="129"/>
      <c r="O629" s="129"/>
      <c r="P629" s="129"/>
      <c r="Q629" s="129"/>
      <c r="R629" s="129"/>
      <c r="S629" s="129"/>
    </row>
    <row r="630" spans="3:19" ht="15" hidden="1" customHeight="1">
      <c r="C630" s="415"/>
      <c r="D630" s="550"/>
      <c r="E630" s="550"/>
      <c r="F630" s="550"/>
      <c r="G630" s="300"/>
      <c r="H630" s="426"/>
      <c r="I630" s="140"/>
      <c r="J630" s="340"/>
      <c r="M630" s="129"/>
      <c r="N630" s="129"/>
      <c r="O630" s="129"/>
      <c r="P630" s="129"/>
      <c r="Q630" s="129"/>
      <c r="R630" s="129"/>
      <c r="S630" s="129"/>
    </row>
    <row r="631" spans="3:19" ht="15" hidden="1" customHeight="1">
      <c r="C631" s="199"/>
      <c r="D631" s="400"/>
      <c r="E631" s="400"/>
      <c r="F631" s="400"/>
      <c r="G631" s="400"/>
      <c r="H631" s="400"/>
      <c r="I631" s="422"/>
      <c r="J631" s="342"/>
      <c r="M631" s="129"/>
      <c r="N631" s="129"/>
      <c r="O631" s="129"/>
      <c r="P631" s="129"/>
      <c r="Q631" s="129"/>
      <c r="R631" s="129"/>
      <c r="S631" s="129"/>
    </row>
    <row r="632" spans="3:19" s="140" customFormat="1" ht="15" hidden="1" customHeight="1">
      <c r="C632" s="176"/>
      <c r="D632" s="534"/>
      <c r="E632" s="534"/>
      <c r="F632" s="534"/>
      <c r="G632" s="534"/>
      <c r="H632" s="534"/>
      <c r="I632" s="176"/>
      <c r="J632" s="145"/>
      <c r="K632" s="141"/>
      <c r="M632" s="142"/>
      <c r="N632" s="142"/>
      <c r="O632" s="142"/>
      <c r="P632" s="142"/>
      <c r="Q632" s="142"/>
      <c r="R632" s="142"/>
      <c r="S632" s="142"/>
    </row>
    <row r="633" spans="3:19" ht="15" hidden="1" customHeight="1">
      <c r="C633" s="415"/>
      <c r="D633" s="555"/>
      <c r="E633" s="555"/>
      <c r="F633" s="555"/>
      <c r="G633" s="555"/>
      <c r="H633" s="555"/>
      <c r="I633" s="421"/>
      <c r="J633" s="340"/>
      <c r="M633" s="129"/>
      <c r="N633" s="129"/>
      <c r="O633" s="129"/>
      <c r="P633" s="129"/>
      <c r="Q633" s="129"/>
      <c r="R633" s="129"/>
      <c r="S633" s="129"/>
    </row>
    <row r="634" spans="3:19" ht="15" hidden="1" customHeight="1">
      <c r="C634" s="241"/>
      <c r="D634" s="550"/>
      <c r="E634" s="550"/>
      <c r="F634" s="550"/>
      <c r="G634" s="300"/>
      <c r="H634" s="426"/>
      <c r="I634" s="419"/>
      <c r="J634" s="343"/>
      <c r="M634" s="129"/>
      <c r="N634" s="129"/>
      <c r="O634" s="129"/>
      <c r="P634" s="129"/>
      <c r="Q634" s="129"/>
      <c r="R634" s="129"/>
      <c r="S634" s="129"/>
    </row>
    <row r="635" spans="3:19" ht="15" hidden="1" customHeight="1">
      <c r="C635" s="176"/>
      <c r="D635" s="534"/>
      <c r="E635" s="534"/>
      <c r="F635" s="534"/>
      <c r="G635" s="534"/>
      <c r="H635" s="534"/>
      <c r="I635" s="176"/>
      <c r="J635" s="145"/>
      <c r="M635" s="129"/>
      <c r="N635" s="129"/>
      <c r="O635" s="129"/>
      <c r="P635" s="129"/>
      <c r="Q635" s="129"/>
      <c r="R635" s="129"/>
      <c r="S635" s="129"/>
    </row>
    <row r="636" spans="3:19" s="140" customFormat="1" ht="15" hidden="1" customHeight="1">
      <c r="C636" s="181"/>
      <c r="D636" s="534"/>
      <c r="E636" s="534"/>
      <c r="F636" s="534"/>
      <c r="G636" s="534"/>
      <c r="H636" s="534"/>
      <c r="I636" s="176"/>
      <c r="J636" s="145"/>
      <c r="K636" s="141"/>
    </row>
    <row r="637" spans="3:19" ht="15" hidden="1" customHeight="1">
      <c r="C637" s="198"/>
      <c r="D637" s="412"/>
      <c r="E637" s="412"/>
      <c r="F637" s="412"/>
      <c r="G637" s="412"/>
      <c r="H637" s="412"/>
      <c r="I637" s="421"/>
      <c r="J637" s="184"/>
    </row>
    <row r="638" spans="3:19" ht="15" hidden="1" customHeight="1">
      <c r="C638" s="415"/>
      <c r="D638" s="551"/>
      <c r="E638" s="551"/>
      <c r="F638" s="551"/>
      <c r="G638" s="551"/>
      <c r="H638" s="551"/>
      <c r="I638" s="551"/>
      <c r="J638" s="183"/>
    </row>
    <row r="639" spans="3:19" ht="15" hidden="1" customHeight="1">
      <c r="C639" s="415"/>
      <c r="D639" s="416"/>
      <c r="E639" s="416"/>
      <c r="F639" s="416"/>
      <c r="G639" s="416"/>
      <c r="H639" s="416"/>
      <c r="I639" s="416"/>
      <c r="J639" s="183"/>
      <c r="L639" s="97"/>
    </row>
    <row r="640" spans="3:19" ht="15" hidden="1" customHeight="1">
      <c r="C640" s="415"/>
      <c r="D640" s="416"/>
      <c r="E640" s="190"/>
      <c r="F640" s="190"/>
      <c r="G640" s="190"/>
      <c r="H640" s="176"/>
      <c r="I640" s="191"/>
      <c r="J640" s="183"/>
      <c r="L640" s="97"/>
    </row>
    <row r="641" spans="3:12" ht="15" hidden="1" customHeight="1">
      <c r="C641" s="415"/>
      <c r="D641" s="176"/>
      <c r="E641" s="190"/>
      <c r="F641" s="190"/>
      <c r="G641" s="190"/>
      <c r="H641" s="190"/>
      <c r="I641" s="191"/>
      <c r="J641" s="183"/>
      <c r="L641" s="97"/>
    </row>
    <row r="642" spans="3:12" ht="15" hidden="1" customHeight="1">
      <c r="C642" s="415"/>
      <c r="D642" s="176"/>
      <c r="E642" s="190"/>
      <c r="F642" s="190"/>
      <c r="G642" s="190"/>
      <c r="H642" s="190"/>
      <c r="I642" s="191"/>
      <c r="J642" s="183"/>
    </row>
    <row r="643" spans="3:12" ht="15" hidden="1" customHeight="1">
      <c r="C643" s="415"/>
      <c r="D643" s="194"/>
      <c r="E643" s="194"/>
      <c r="F643" s="194"/>
      <c r="G643" s="194"/>
      <c r="H643" s="194"/>
      <c r="I643" s="413"/>
      <c r="J643" s="183"/>
    </row>
    <row r="644" spans="3:12" ht="15" hidden="1" customHeight="1">
      <c r="C644" s="415"/>
      <c r="D644" s="552"/>
      <c r="E644" s="552"/>
      <c r="F644" s="553"/>
      <c r="G644" s="553"/>
      <c r="H644" s="553"/>
      <c r="I644" s="553"/>
      <c r="J644" s="183"/>
    </row>
    <row r="645" spans="3:12" ht="15" hidden="1" customHeight="1">
      <c r="C645" s="199"/>
      <c r="D645" s="400"/>
      <c r="E645" s="400"/>
      <c r="F645" s="400"/>
      <c r="G645" s="400"/>
      <c r="H645" s="400"/>
      <c r="I645" s="422"/>
      <c r="J645" s="186"/>
    </row>
    <row r="646" spans="3:12" s="302" customFormat="1" ht="15" hidden="1" customHeight="1">
      <c r="C646" s="316"/>
      <c r="D646" s="293"/>
      <c r="E646" s="293"/>
      <c r="F646" s="293"/>
      <c r="G646" s="293"/>
      <c r="H646" s="293"/>
      <c r="I646" s="295"/>
      <c r="J646" s="228"/>
      <c r="K646" s="317"/>
    </row>
    <row r="647" spans="3:12" s="302" customFormat="1" ht="15" hidden="1" customHeight="1">
      <c r="C647" s="327"/>
      <c r="D647" s="554"/>
      <c r="E647" s="554"/>
      <c r="F647" s="554"/>
      <c r="G647" s="554"/>
      <c r="H647" s="554"/>
      <c r="I647" s="554"/>
      <c r="J647" s="229"/>
      <c r="K647" s="317"/>
    </row>
    <row r="648" spans="3:12" s="302" customFormat="1" ht="15" hidden="1" customHeight="1">
      <c r="C648" s="327"/>
      <c r="D648" s="418"/>
      <c r="E648" s="418"/>
      <c r="F648" s="418"/>
      <c r="G648" s="418"/>
      <c r="H648" s="418"/>
      <c r="I648" s="418"/>
      <c r="J648" s="229"/>
      <c r="K648" s="317"/>
      <c r="L648" s="318"/>
    </row>
    <row r="649" spans="3:12" s="302" customFormat="1" ht="15" hidden="1" customHeight="1">
      <c r="C649" s="327"/>
      <c r="D649" s="418"/>
      <c r="E649" s="276"/>
      <c r="F649" s="276"/>
      <c r="G649" s="276"/>
      <c r="H649" s="274"/>
      <c r="I649" s="319"/>
      <c r="J649" s="229"/>
      <c r="K649" s="317"/>
      <c r="L649" s="318"/>
    </row>
    <row r="650" spans="3:12" s="302" customFormat="1" ht="15" hidden="1" customHeight="1">
      <c r="C650" s="327"/>
      <c r="D650" s="274"/>
      <c r="E650" s="276"/>
      <c r="F650" s="276"/>
      <c r="G650" s="276"/>
      <c r="H650" s="276"/>
      <c r="I650" s="319"/>
      <c r="J650" s="229"/>
      <c r="K650" s="317"/>
      <c r="L650" s="318"/>
    </row>
    <row r="651" spans="3:12" s="302" customFormat="1" ht="15" hidden="1" customHeight="1">
      <c r="C651" s="327"/>
      <c r="D651" s="274"/>
      <c r="E651" s="276"/>
      <c r="F651" s="276"/>
      <c r="G651" s="276"/>
      <c r="H651" s="276"/>
      <c r="I651" s="319"/>
      <c r="J651" s="229"/>
      <c r="K651" s="317"/>
    </row>
    <row r="652" spans="3:12" s="302" customFormat="1" ht="15" hidden="1" customHeight="1">
      <c r="C652" s="327"/>
      <c r="D652" s="426"/>
      <c r="E652" s="426"/>
      <c r="F652" s="426"/>
      <c r="G652" s="426"/>
      <c r="H652" s="426"/>
      <c r="I652" s="423"/>
      <c r="J652" s="229"/>
      <c r="K652" s="317"/>
    </row>
    <row r="653" spans="3:12" s="302" customFormat="1" ht="15" hidden="1" customHeight="1">
      <c r="C653" s="327"/>
      <c r="D653" s="549"/>
      <c r="E653" s="549"/>
      <c r="F653" s="550"/>
      <c r="G653" s="550"/>
      <c r="H653" s="550"/>
      <c r="I653" s="550"/>
      <c r="J653" s="229"/>
      <c r="K653" s="317"/>
    </row>
    <row r="654" spans="3:12" s="302" customFormat="1" ht="15" hidden="1" customHeight="1">
      <c r="C654" s="311"/>
      <c r="D654" s="296"/>
      <c r="E654" s="296"/>
      <c r="F654" s="296"/>
      <c r="G654" s="296"/>
      <c r="H654" s="296"/>
      <c r="I654" s="301"/>
      <c r="J654" s="266"/>
      <c r="K654" s="317"/>
    </row>
    <row r="655" spans="3:12" ht="15" hidden="1" customHeight="1">
      <c r="C655" s="416"/>
      <c r="D655" s="537"/>
      <c r="E655" s="537"/>
      <c r="F655" s="537"/>
      <c r="G655" s="537"/>
      <c r="H655" s="537"/>
      <c r="I655" s="176"/>
      <c r="J655" s="145"/>
    </row>
    <row r="656" spans="3:12" ht="15" hidden="1" customHeight="1">
      <c r="C656" s="176"/>
      <c r="D656" s="534"/>
      <c r="E656" s="534"/>
      <c r="F656" s="534"/>
      <c r="G656" s="534"/>
      <c r="H656" s="534"/>
      <c r="I656" s="176"/>
      <c r="J656" s="145"/>
    </row>
    <row r="657" spans="3:10" ht="15" hidden="1" customHeight="1">
      <c r="C657" s="415"/>
      <c r="D657" s="194"/>
      <c r="E657" s="194"/>
      <c r="F657" s="194"/>
      <c r="G657" s="194"/>
      <c r="H657" s="194"/>
      <c r="I657" s="413"/>
      <c r="J657" s="183"/>
    </row>
    <row r="658" spans="3:10" ht="15" hidden="1" customHeight="1">
      <c r="C658" s="415"/>
      <c r="D658" s="194"/>
      <c r="E658" s="414"/>
      <c r="F658" s="194"/>
      <c r="G658" s="194"/>
      <c r="H658" s="194"/>
      <c r="I658" s="413"/>
      <c r="J658" s="183"/>
    </row>
    <row r="659" spans="3:10" ht="15" hidden="1" customHeight="1">
      <c r="C659" s="415"/>
      <c r="D659" s="194"/>
      <c r="E659" s="414"/>
      <c r="F659" s="194"/>
      <c r="G659" s="194"/>
      <c r="H659" s="194"/>
      <c r="I659" s="413"/>
      <c r="J659" s="183"/>
    </row>
    <row r="660" spans="3:10" ht="15" hidden="1" customHeight="1">
      <c r="C660" s="415"/>
      <c r="D660" s="194"/>
      <c r="E660" s="414"/>
      <c r="F660" s="194"/>
      <c r="G660" s="194"/>
      <c r="H660" s="194"/>
      <c r="I660" s="413"/>
      <c r="J660" s="183"/>
    </row>
    <row r="661" spans="3:10" ht="15" hidden="1" customHeight="1">
      <c r="C661" s="415"/>
      <c r="D661" s="140"/>
      <c r="E661" s="195"/>
      <c r="F661" s="194"/>
      <c r="G661" s="194"/>
      <c r="H661" s="194"/>
      <c r="I661" s="413"/>
      <c r="J661" s="183"/>
    </row>
    <row r="662" spans="3:10" ht="15" hidden="1" customHeight="1">
      <c r="C662" s="199"/>
      <c r="D662" s="400"/>
      <c r="E662" s="400"/>
      <c r="F662" s="400"/>
      <c r="G662" s="400"/>
      <c r="H662" s="400"/>
      <c r="I662" s="422"/>
      <c r="J662" s="186"/>
    </row>
    <row r="663" spans="3:10" ht="15" hidden="1" customHeight="1">
      <c r="C663" s="415"/>
      <c r="D663" s="194"/>
      <c r="E663" s="194"/>
      <c r="F663" s="194"/>
      <c r="G663" s="194"/>
      <c r="H663" s="194"/>
      <c r="I663" s="413"/>
      <c r="J663" s="183"/>
    </row>
    <row r="664" spans="3:10" ht="15" hidden="1" customHeight="1">
      <c r="C664" s="415"/>
      <c r="D664" s="426"/>
      <c r="E664" s="272"/>
      <c r="F664" s="426"/>
      <c r="G664" s="194"/>
      <c r="H664" s="194"/>
      <c r="I664" s="413"/>
      <c r="J664" s="183"/>
    </row>
    <row r="665" spans="3:10" ht="15" hidden="1" customHeight="1">
      <c r="C665" s="415"/>
      <c r="D665" s="426"/>
      <c r="E665" s="272"/>
      <c r="F665" s="426"/>
      <c r="G665" s="194"/>
      <c r="H665" s="194"/>
      <c r="I665" s="413"/>
      <c r="J665" s="183"/>
    </row>
    <row r="666" spans="3:10" ht="15" hidden="1" customHeight="1">
      <c r="C666" s="415"/>
      <c r="D666" s="426"/>
      <c r="E666" s="272"/>
      <c r="F666" s="426"/>
      <c r="G666" s="194"/>
      <c r="H666" s="194"/>
      <c r="I666" s="413"/>
      <c r="J666" s="183"/>
    </row>
    <row r="667" spans="3:10" ht="15" hidden="1" customHeight="1">
      <c r="C667" s="415"/>
      <c r="D667" s="309"/>
      <c r="E667" s="273"/>
      <c r="F667" s="426"/>
      <c r="G667" s="194"/>
      <c r="H667" s="194"/>
      <c r="I667" s="413"/>
      <c r="J667" s="183"/>
    </row>
    <row r="668" spans="3:10" ht="15" hidden="1" customHeight="1">
      <c r="C668" s="199"/>
      <c r="D668" s="400"/>
      <c r="E668" s="400"/>
      <c r="F668" s="400"/>
      <c r="G668" s="400"/>
      <c r="H668" s="400"/>
      <c r="I668" s="422"/>
      <c r="J668" s="186"/>
    </row>
    <row r="669" spans="3:10" ht="15" hidden="1" customHeight="1">
      <c r="C669" s="176"/>
      <c r="D669" s="534"/>
      <c r="E669" s="534"/>
      <c r="F669" s="534"/>
      <c r="G669" s="534"/>
      <c r="H669" s="534"/>
      <c r="I669" s="176"/>
      <c r="J669" s="145"/>
    </row>
    <row r="670" spans="3:10" ht="15" hidden="1" customHeight="1">
      <c r="C670" s="176"/>
      <c r="D670" s="534"/>
      <c r="E670" s="534"/>
      <c r="F670" s="534"/>
      <c r="G670" s="534"/>
      <c r="H670" s="534"/>
      <c r="I670" s="176"/>
      <c r="J670" s="145"/>
    </row>
    <row r="671" spans="3:10" ht="15" hidden="1" customHeight="1">
      <c r="C671" s="176"/>
      <c r="D671" s="537"/>
      <c r="E671" s="537"/>
      <c r="F671" s="537"/>
      <c r="G671" s="537"/>
      <c r="H671" s="537"/>
      <c r="I671" s="176"/>
      <c r="J671" s="145"/>
    </row>
    <row r="672" spans="3:10" ht="15" hidden="1" customHeight="1">
      <c r="C672" s="176"/>
      <c r="D672" s="534"/>
      <c r="E672" s="534"/>
      <c r="F672" s="534"/>
      <c r="G672" s="534"/>
      <c r="H672" s="534"/>
      <c r="I672" s="176"/>
      <c r="J672" s="145"/>
    </row>
    <row r="673" spans="3:19" ht="15" hidden="1" customHeight="1">
      <c r="C673" s="176"/>
      <c r="D673" s="546"/>
      <c r="E673" s="547"/>
      <c r="F673" s="547"/>
      <c r="G673" s="547"/>
      <c r="H673" s="548"/>
      <c r="I673" s="176"/>
      <c r="J673" s="145"/>
    </row>
    <row r="674" spans="3:19" s="140" customFormat="1" ht="15" hidden="1" customHeight="1">
      <c r="C674" s="416"/>
      <c r="D674" s="537"/>
      <c r="E674" s="537"/>
      <c r="F674" s="537"/>
      <c r="G674" s="537"/>
      <c r="H674" s="537"/>
      <c r="I674" s="176"/>
      <c r="J674" s="145"/>
      <c r="K674" s="141"/>
      <c r="M674" s="142"/>
      <c r="N674" s="142"/>
      <c r="O674" s="142"/>
      <c r="P674" s="142"/>
      <c r="Q674" s="142"/>
    </row>
    <row r="675" spans="3:19" s="140" customFormat="1" ht="15" hidden="1" customHeight="1">
      <c r="C675" s="176"/>
      <c r="D675" s="534"/>
      <c r="E675" s="534"/>
      <c r="F675" s="534"/>
      <c r="G675" s="534"/>
      <c r="H675" s="534"/>
      <c r="I675" s="176"/>
      <c r="J675" s="145"/>
      <c r="K675" s="141"/>
      <c r="M675" s="142"/>
      <c r="N675" s="142"/>
      <c r="O675" s="142"/>
      <c r="P675" s="142"/>
      <c r="Q675" s="142"/>
    </row>
    <row r="676" spans="3:19" ht="15" hidden="1" customHeight="1">
      <c r="C676" s="176"/>
      <c r="D676" s="534"/>
      <c r="E676" s="534"/>
      <c r="F676" s="534"/>
      <c r="G676" s="534"/>
      <c r="H676" s="534"/>
      <c r="I676" s="176"/>
      <c r="J676" s="145"/>
      <c r="M676" s="129"/>
      <c r="N676" s="129"/>
      <c r="O676" s="129"/>
      <c r="P676" s="129"/>
      <c r="Q676" s="129"/>
      <c r="R676" s="129"/>
      <c r="S676" s="129"/>
    </row>
    <row r="677" spans="3:19" s="140" customFormat="1" ht="15" hidden="1" customHeight="1">
      <c r="C677" s="176"/>
      <c r="D677" s="534"/>
      <c r="E677" s="534"/>
      <c r="F677" s="534"/>
      <c r="G677" s="534"/>
      <c r="H677" s="534"/>
      <c r="I677" s="176"/>
      <c r="J677" s="145"/>
      <c r="K677" s="141"/>
      <c r="M677" s="142"/>
      <c r="N677" s="142"/>
      <c r="O677" s="142"/>
      <c r="P677" s="142"/>
      <c r="Q677" s="142"/>
      <c r="R677" s="142"/>
      <c r="S677" s="142"/>
    </row>
    <row r="678" spans="3:19" ht="15" hidden="1" customHeight="1">
      <c r="C678" s="180"/>
      <c r="D678" s="545"/>
      <c r="E678" s="545"/>
      <c r="F678" s="545"/>
      <c r="G678" s="545"/>
      <c r="H678" s="545"/>
      <c r="I678" s="181"/>
      <c r="J678" s="143"/>
      <c r="M678" s="129"/>
      <c r="N678" s="129"/>
      <c r="O678" s="129"/>
      <c r="P678" s="129"/>
      <c r="Q678" s="129"/>
      <c r="R678" s="129"/>
      <c r="S678" s="129"/>
    </row>
    <row r="679" spans="3:19" ht="15" hidden="1" customHeight="1">
      <c r="C679" s="176"/>
      <c r="D679" s="534"/>
      <c r="E679" s="534"/>
      <c r="F679" s="534"/>
      <c r="G679" s="534"/>
      <c r="H679" s="534"/>
      <c r="I679" s="176"/>
      <c r="J679" s="145"/>
    </row>
    <row r="680" spans="3:19" ht="15" hidden="1" customHeight="1">
      <c r="C680" s="176"/>
      <c r="D680" s="534"/>
      <c r="E680" s="534"/>
      <c r="F680" s="534"/>
      <c r="G680" s="534"/>
      <c r="H680" s="534"/>
      <c r="I680" s="176"/>
      <c r="J680" s="145"/>
    </row>
    <row r="681" spans="3:19" ht="15" hidden="1" customHeight="1">
      <c r="C681" s="176"/>
      <c r="D681" s="534"/>
      <c r="E681" s="534"/>
      <c r="F681" s="534"/>
      <c r="G681" s="534"/>
      <c r="H681" s="534"/>
      <c r="I681" s="176"/>
      <c r="J681" s="145"/>
    </row>
    <row r="682" spans="3:19" ht="15" hidden="1" customHeight="1">
      <c r="C682" s="176"/>
      <c r="D682" s="534"/>
      <c r="E682" s="534"/>
      <c r="F682" s="534"/>
      <c r="G682" s="534"/>
      <c r="H682" s="534"/>
      <c r="I682" s="176"/>
      <c r="J682" s="145"/>
    </row>
    <row r="683" spans="3:19" ht="15" hidden="1" customHeight="1">
      <c r="C683" s="176"/>
      <c r="D683" s="534"/>
      <c r="E683" s="534"/>
      <c r="F683" s="534"/>
      <c r="G683" s="534"/>
      <c r="H683" s="534"/>
      <c r="I683" s="176"/>
      <c r="J683" s="145"/>
    </row>
    <row r="684" spans="3:19" ht="15" hidden="1" customHeight="1">
      <c r="C684" s="254"/>
      <c r="D684" s="538"/>
      <c r="E684" s="538"/>
      <c r="F684" s="538"/>
      <c r="G684" s="538"/>
      <c r="H684" s="538"/>
      <c r="I684" s="205"/>
      <c r="J684" s="144"/>
    </row>
    <row r="685" spans="3:19" s="140" customFormat="1" ht="15" hidden="1" customHeight="1">
      <c r="C685" s="176"/>
      <c r="D685" s="534"/>
      <c r="E685" s="534"/>
      <c r="F685" s="534"/>
      <c r="G685" s="534"/>
      <c r="H685" s="534"/>
      <c r="I685" s="176"/>
      <c r="J685" s="145"/>
      <c r="K685" s="141"/>
      <c r="M685" s="142"/>
      <c r="N685" s="142"/>
      <c r="O685" s="142"/>
      <c r="P685" s="142"/>
      <c r="Q685" s="142"/>
    </row>
    <row r="686" spans="3:19" ht="15" hidden="1" customHeight="1">
      <c r="C686" s="415"/>
      <c r="D686" s="194"/>
      <c r="E686" s="194"/>
      <c r="F686" s="194"/>
      <c r="G686" s="194"/>
      <c r="H686" s="194"/>
      <c r="I686" s="413"/>
      <c r="J686" s="183"/>
    </row>
    <row r="687" spans="3:19" ht="15" hidden="1" customHeight="1">
      <c r="C687" s="415"/>
      <c r="D687" s="194"/>
      <c r="E687" s="414"/>
      <c r="F687" s="194"/>
      <c r="G687" s="194"/>
      <c r="H687" s="194"/>
      <c r="I687" s="413"/>
      <c r="J687" s="183"/>
    </row>
    <row r="688" spans="3:19" ht="15" hidden="1" customHeight="1">
      <c r="C688" s="415"/>
      <c r="D688" s="194"/>
      <c r="E688" s="414"/>
      <c r="F688" s="194"/>
      <c r="G688" s="194"/>
      <c r="H688" s="194"/>
      <c r="I688" s="413"/>
      <c r="J688" s="183"/>
    </row>
    <row r="689" spans="3:19" ht="15" hidden="1" customHeight="1">
      <c r="C689" s="415"/>
      <c r="D689" s="194"/>
      <c r="E689" s="414"/>
      <c r="F689" s="194"/>
      <c r="G689" s="194"/>
      <c r="H689" s="194"/>
      <c r="I689" s="413"/>
      <c r="J689" s="183"/>
    </row>
    <row r="690" spans="3:19" ht="15" hidden="1" customHeight="1">
      <c r="C690" s="415"/>
      <c r="D690" s="140"/>
      <c r="E690" s="195"/>
      <c r="F690" s="194"/>
      <c r="G690" s="194"/>
      <c r="H690" s="194"/>
      <c r="I690" s="413"/>
      <c r="J690" s="183"/>
    </row>
    <row r="691" spans="3:19" ht="15" hidden="1" customHeight="1">
      <c r="C691" s="199"/>
      <c r="D691" s="400"/>
      <c r="E691" s="400"/>
      <c r="F691" s="400"/>
      <c r="G691" s="400"/>
      <c r="H691" s="400"/>
      <c r="I691" s="422"/>
      <c r="J691" s="186"/>
    </row>
    <row r="692" spans="3:19" ht="15" hidden="1" customHeight="1">
      <c r="C692" s="415"/>
      <c r="D692" s="194"/>
      <c r="E692" s="194"/>
      <c r="F692" s="194"/>
      <c r="G692" s="194"/>
      <c r="H692" s="194"/>
      <c r="I692" s="413"/>
      <c r="J692" s="183"/>
    </row>
    <row r="693" spans="3:19" ht="15" hidden="1" customHeight="1">
      <c r="C693" s="415"/>
      <c r="D693" s="426"/>
      <c r="E693" s="272"/>
      <c r="F693" s="426"/>
      <c r="G693" s="194"/>
      <c r="H693" s="194"/>
      <c r="I693" s="413"/>
      <c r="J693" s="183"/>
    </row>
    <row r="694" spans="3:19" ht="15" hidden="1" customHeight="1">
      <c r="C694" s="415"/>
      <c r="D694" s="426"/>
      <c r="E694" s="272"/>
      <c r="F694" s="426"/>
      <c r="G694" s="194"/>
      <c r="H694" s="194"/>
      <c r="I694" s="413"/>
      <c r="J694" s="183"/>
    </row>
    <row r="695" spans="3:19" ht="15" hidden="1" customHeight="1">
      <c r="C695" s="415"/>
      <c r="D695" s="426"/>
      <c r="E695" s="272"/>
      <c r="F695" s="426"/>
      <c r="G695" s="194"/>
      <c r="H695" s="194"/>
      <c r="I695" s="413"/>
      <c r="J695" s="183"/>
    </row>
    <row r="696" spans="3:19" ht="15" hidden="1" customHeight="1">
      <c r="C696" s="415"/>
      <c r="D696" s="309"/>
      <c r="E696" s="273"/>
      <c r="F696" s="426"/>
      <c r="G696" s="194"/>
      <c r="H696" s="194"/>
      <c r="I696" s="413"/>
      <c r="J696" s="183"/>
    </row>
    <row r="697" spans="3:19" ht="15" hidden="1" customHeight="1">
      <c r="C697" s="199"/>
      <c r="D697" s="400"/>
      <c r="E697" s="400"/>
      <c r="F697" s="400"/>
      <c r="G697" s="400"/>
      <c r="H697" s="400"/>
      <c r="I697" s="422"/>
      <c r="J697" s="186"/>
    </row>
    <row r="698" spans="3:19" s="140" customFormat="1" ht="15" hidden="1" customHeight="1">
      <c r="C698" s="176"/>
      <c r="D698" s="534"/>
      <c r="E698" s="534"/>
      <c r="F698" s="534"/>
      <c r="G698" s="534"/>
      <c r="H698" s="534"/>
      <c r="I698" s="176"/>
      <c r="J698" s="145"/>
      <c r="K698" s="141"/>
      <c r="M698" s="142"/>
      <c r="N698" s="142"/>
      <c r="O698" s="142"/>
      <c r="P698" s="142"/>
      <c r="Q698" s="142"/>
    </row>
    <row r="699" spans="3:19" ht="15" hidden="1" customHeight="1">
      <c r="C699" s="176"/>
      <c r="D699" s="534"/>
      <c r="E699" s="534"/>
      <c r="F699" s="534"/>
      <c r="G699" s="534"/>
      <c r="H699" s="534"/>
      <c r="I699" s="176"/>
      <c r="J699" s="145"/>
      <c r="M699" s="129"/>
      <c r="N699" s="129"/>
      <c r="O699" s="129"/>
      <c r="P699" s="129"/>
      <c r="Q699" s="129"/>
      <c r="R699" s="129"/>
      <c r="S699" s="129"/>
    </row>
    <row r="700" spans="3:19" ht="15" hidden="1" customHeight="1">
      <c r="C700" s="176"/>
      <c r="D700" s="534"/>
      <c r="E700" s="534"/>
      <c r="F700" s="534"/>
      <c r="G700" s="534"/>
      <c r="H700" s="534"/>
      <c r="I700" s="176"/>
      <c r="J700" s="145"/>
      <c r="M700" s="129"/>
      <c r="N700" s="129"/>
      <c r="O700" s="129"/>
      <c r="P700" s="129"/>
      <c r="Q700" s="129"/>
      <c r="R700" s="129"/>
      <c r="S700" s="129"/>
    </row>
    <row r="701" spans="3:19" ht="15" hidden="1" customHeight="1">
      <c r="C701" s="176"/>
      <c r="D701" s="534"/>
      <c r="E701" s="534"/>
      <c r="F701" s="534"/>
      <c r="G701" s="534"/>
      <c r="H701" s="534"/>
      <c r="I701" s="176"/>
      <c r="J701" s="145"/>
      <c r="M701" s="129"/>
      <c r="N701" s="129"/>
      <c r="O701" s="129"/>
      <c r="P701" s="129"/>
      <c r="Q701" s="129"/>
      <c r="R701" s="129"/>
      <c r="S701" s="129"/>
    </row>
    <row r="702" spans="3:19" ht="15" hidden="1" customHeight="1">
      <c r="C702" s="416"/>
      <c r="D702" s="537"/>
      <c r="E702" s="537"/>
      <c r="F702" s="537"/>
      <c r="G702" s="537"/>
      <c r="H702" s="537"/>
      <c r="I702" s="176"/>
      <c r="J702" s="145"/>
    </row>
    <row r="703" spans="3:19" s="140" customFormat="1" ht="15" hidden="1" customHeight="1">
      <c r="C703" s="176"/>
      <c r="D703" s="534"/>
      <c r="E703" s="534"/>
      <c r="F703" s="534"/>
      <c r="G703" s="534"/>
      <c r="H703" s="534"/>
      <c r="I703" s="176"/>
      <c r="J703" s="145"/>
      <c r="K703" s="141"/>
      <c r="M703" s="142"/>
      <c r="N703" s="142"/>
      <c r="O703" s="142"/>
      <c r="P703" s="142"/>
      <c r="Q703" s="142"/>
    </row>
    <row r="704" spans="3:19" ht="15" hidden="1" customHeight="1">
      <c r="C704" s="415"/>
      <c r="D704" s="194"/>
      <c r="E704" s="414"/>
      <c r="F704" s="194"/>
      <c r="G704" s="194"/>
      <c r="H704" s="414"/>
      <c r="I704" s="194"/>
      <c r="J704" s="344"/>
    </row>
    <row r="705" spans="3:17" ht="15" hidden="1" customHeight="1">
      <c r="C705" s="415"/>
      <c r="D705" s="194"/>
      <c r="E705" s="414"/>
      <c r="F705" s="194"/>
      <c r="G705" s="194"/>
      <c r="H705" s="414"/>
      <c r="I705" s="194"/>
      <c r="J705" s="183"/>
    </row>
    <row r="706" spans="3:17" ht="15" hidden="1" customHeight="1">
      <c r="C706" s="415"/>
      <c r="D706" s="194"/>
      <c r="E706" s="195"/>
      <c r="F706" s="194"/>
      <c r="G706" s="194"/>
      <c r="H706" s="195"/>
      <c r="I706" s="194"/>
      <c r="J706" s="183"/>
    </row>
    <row r="707" spans="3:17" ht="15" hidden="1" customHeight="1">
      <c r="C707" s="199"/>
      <c r="D707" s="400"/>
      <c r="E707" s="400"/>
      <c r="F707" s="400"/>
      <c r="G707" s="400"/>
      <c r="H707" s="400"/>
      <c r="I707" s="422"/>
      <c r="J707" s="186"/>
    </row>
    <row r="708" spans="3:17" s="140" customFormat="1" ht="15" hidden="1" customHeight="1">
      <c r="C708" s="176"/>
      <c r="D708" s="534"/>
      <c r="E708" s="534"/>
      <c r="F708" s="534"/>
      <c r="G708" s="534"/>
      <c r="H708" s="534"/>
      <c r="I708" s="176"/>
      <c r="J708" s="145"/>
      <c r="K708" s="141"/>
      <c r="M708" s="142"/>
      <c r="N708" s="142"/>
      <c r="O708" s="142"/>
      <c r="P708" s="142"/>
      <c r="Q708" s="142"/>
    </row>
    <row r="709" spans="3:17" ht="15" hidden="1" customHeight="1">
      <c r="C709" s="415"/>
      <c r="D709" s="194"/>
      <c r="E709" s="414"/>
      <c r="F709" s="194"/>
      <c r="G709" s="541"/>
      <c r="H709" s="541"/>
      <c r="I709" s="541"/>
      <c r="J709" s="542"/>
    </row>
    <row r="710" spans="3:17" ht="15" hidden="1" customHeight="1">
      <c r="C710" s="415"/>
      <c r="D710" s="194"/>
      <c r="E710" s="414"/>
      <c r="F710" s="194"/>
      <c r="G710" s="539"/>
      <c r="H710" s="539"/>
      <c r="I710" s="413"/>
      <c r="J710" s="183"/>
    </row>
    <row r="711" spans="3:17" ht="15" hidden="1" customHeight="1">
      <c r="C711" s="415"/>
      <c r="D711" s="194"/>
      <c r="E711" s="195"/>
      <c r="F711" s="194"/>
      <c r="G711" s="194"/>
      <c r="H711" s="194"/>
      <c r="I711" s="413"/>
      <c r="J711" s="183"/>
    </row>
    <row r="712" spans="3:17" s="140" customFormat="1" ht="15" hidden="1" customHeight="1">
      <c r="C712" s="176"/>
      <c r="D712" s="534"/>
      <c r="E712" s="534"/>
      <c r="F712" s="534"/>
      <c r="G712" s="534"/>
      <c r="H712" s="534"/>
      <c r="I712" s="176"/>
      <c r="J712" s="145"/>
      <c r="K712" s="141"/>
      <c r="M712" s="142"/>
      <c r="N712" s="142"/>
      <c r="O712" s="142"/>
      <c r="P712" s="142"/>
      <c r="Q712" s="142"/>
    </row>
    <row r="713" spans="3:17" ht="15" hidden="1" customHeight="1">
      <c r="C713" s="198"/>
      <c r="D713" s="412"/>
      <c r="E713" s="195"/>
      <c r="F713" s="412"/>
      <c r="G713" s="541"/>
      <c r="H713" s="541"/>
      <c r="I713" s="541"/>
      <c r="J713" s="542"/>
    </row>
    <row r="714" spans="3:17" ht="15" hidden="1" customHeight="1">
      <c r="C714" s="415"/>
      <c r="D714" s="194"/>
      <c r="E714" s="414"/>
      <c r="F714" s="194"/>
      <c r="G714" s="539"/>
      <c r="H714" s="539"/>
      <c r="I714" s="179"/>
      <c r="J714" s="255"/>
    </row>
    <row r="715" spans="3:17" ht="15" hidden="1" customHeight="1">
      <c r="C715" s="415"/>
      <c r="D715" s="194"/>
      <c r="E715" s="195"/>
      <c r="F715" s="194"/>
      <c r="G715" s="194"/>
      <c r="H715" s="194"/>
      <c r="I715" s="413"/>
      <c r="J715" s="183"/>
    </row>
    <row r="716" spans="3:17" ht="15" hidden="1" customHeight="1">
      <c r="C716" s="415"/>
      <c r="D716" s="194"/>
      <c r="E716" s="194"/>
      <c r="F716" s="194"/>
      <c r="G716" s="194"/>
      <c r="H716" s="194"/>
      <c r="I716" s="413"/>
      <c r="J716" s="183"/>
    </row>
    <row r="717" spans="3:17" ht="15" hidden="1" customHeight="1">
      <c r="C717" s="415"/>
      <c r="D717" s="194"/>
      <c r="E717" s="194"/>
      <c r="F717" s="194"/>
      <c r="G717" s="194"/>
      <c r="H717" s="194"/>
      <c r="I717" s="413"/>
      <c r="J717" s="183"/>
    </row>
    <row r="718" spans="3:17" ht="15" hidden="1" customHeight="1">
      <c r="C718" s="198"/>
      <c r="D718" s="293"/>
      <c r="E718" s="273"/>
      <c r="F718" s="293"/>
      <c r="G718" s="541"/>
      <c r="H718" s="541"/>
      <c r="I718" s="541"/>
      <c r="J718" s="542"/>
    </row>
    <row r="719" spans="3:17" ht="15" hidden="1" customHeight="1">
      <c r="C719" s="415"/>
      <c r="D719" s="426"/>
      <c r="E719" s="272"/>
      <c r="F719" s="426"/>
      <c r="G719" s="543"/>
      <c r="H719" s="544"/>
      <c r="I719" s="310"/>
      <c r="J719" s="255"/>
    </row>
    <row r="720" spans="3:17" ht="15" hidden="1" customHeight="1">
      <c r="C720" s="415"/>
      <c r="D720" s="426"/>
      <c r="E720" s="273"/>
      <c r="F720" s="426"/>
      <c r="G720" s="194"/>
      <c r="H720" s="194"/>
      <c r="I720" s="413"/>
      <c r="J720" s="183"/>
    </row>
    <row r="721" spans="3:19" ht="15" hidden="1" customHeight="1">
      <c r="C721" s="415"/>
      <c r="D721" s="426"/>
      <c r="E721" s="426"/>
      <c r="F721" s="426"/>
      <c r="G721" s="194"/>
      <c r="H721" s="194"/>
      <c r="I721" s="413"/>
      <c r="J721" s="183"/>
    </row>
    <row r="722" spans="3:19" ht="15" hidden="1" customHeight="1">
      <c r="C722" s="415"/>
      <c r="D722" s="426"/>
      <c r="E722" s="272"/>
      <c r="F722" s="426"/>
      <c r="G722" s="539"/>
      <c r="H722" s="539"/>
      <c r="I722" s="539"/>
      <c r="J722" s="540"/>
    </row>
    <row r="723" spans="3:19" ht="15" hidden="1" customHeight="1">
      <c r="C723" s="415"/>
      <c r="D723" s="426"/>
      <c r="E723" s="272"/>
      <c r="F723" s="426"/>
      <c r="G723" s="539"/>
      <c r="H723" s="539"/>
      <c r="I723" s="179"/>
      <c r="J723" s="255"/>
    </row>
    <row r="724" spans="3:19" ht="15" hidden="1" customHeight="1">
      <c r="C724" s="415"/>
      <c r="D724" s="426"/>
      <c r="E724" s="273"/>
      <c r="F724" s="426"/>
      <c r="G724" s="194"/>
      <c r="H724" s="194"/>
      <c r="I724" s="413"/>
      <c r="J724" s="183"/>
    </row>
    <row r="725" spans="3:19" ht="15" hidden="1" customHeight="1">
      <c r="C725" s="199"/>
      <c r="D725" s="400"/>
      <c r="E725" s="400"/>
      <c r="F725" s="400"/>
      <c r="G725" s="400"/>
      <c r="H725" s="400"/>
      <c r="I725" s="422"/>
      <c r="J725" s="186"/>
    </row>
    <row r="726" spans="3:19" s="140" customFormat="1" ht="15" hidden="1" customHeight="1">
      <c r="C726" s="181"/>
      <c r="D726" s="536"/>
      <c r="E726" s="536"/>
      <c r="F726" s="536"/>
      <c r="G726" s="536"/>
      <c r="H726" s="536"/>
      <c r="I726" s="181"/>
      <c r="J726" s="143"/>
      <c r="K726" s="141"/>
      <c r="M726" s="142"/>
      <c r="N726" s="142"/>
      <c r="O726" s="142"/>
      <c r="P726" s="142"/>
      <c r="Q726" s="142"/>
    </row>
    <row r="727" spans="3:19" ht="15" hidden="1" customHeight="1">
      <c r="C727" s="198"/>
      <c r="D727" s="412"/>
      <c r="E727" s="195"/>
      <c r="F727" s="412"/>
      <c r="G727" s="539"/>
      <c r="H727" s="539"/>
      <c r="I727" s="539"/>
      <c r="J727" s="540"/>
    </row>
    <row r="728" spans="3:19" ht="15" hidden="1" customHeight="1">
      <c r="C728" s="415"/>
      <c r="D728" s="194"/>
      <c r="E728" s="414"/>
      <c r="F728" s="194"/>
      <c r="G728" s="539"/>
      <c r="H728" s="539"/>
      <c r="I728" s="179"/>
      <c r="J728" s="255"/>
    </row>
    <row r="729" spans="3:19" ht="15" hidden="1" customHeight="1">
      <c r="C729" s="415"/>
      <c r="D729" s="194"/>
      <c r="E729" s="195"/>
      <c r="F729" s="194"/>
      <c r="G729" s="194"/>
      <c r="H729" s="194"/>
      <c r="I729" s="413"/>
      <c r="J729" s="183"/>
    </row>
    <row r="730" spans="3:19" ht="15" hidden="1" customHeight="1">
      <c r="C730" s="415"/>
      <c r="D730" s="194"/>
      <c r="E730" s="195"/>
      <c r="F730" s="194"/>
      <c r="G730" s="194"/>
      <c r="H730" s="194"/>
      <c r="I730" s="413"/>
      <c r="J730" s="183"/>
    </row>
    <row r="731" spans="3:19" ht="15" hidden="1" customHeight="1">
      <c r="C731" s="198"/>
      <c r="D731" s="293"/>
      <c r="E731" s="273"/>
      <c r="F731" s="293"/>
      <c r="G731" s="541"/>
      <c r="H731" s="541"/>
      <c r="I731" s="541"/>
      <c r="J731" s="542"/>
    </row>
    <row r="732" spans="3:19" ht="15" hidden="1" customHeight="1">
      <c r="C732" s="415"/>
      <c r="D732" s="426"/>
      <c r="E732" s="272"/>
      <c r="F732" s="426"/>
      <c r="G732" s="543"/>
      <c r="H732" s="544"/>
      <c r="I732" s="310"/>
      <c r="J732" s="255"/>
    </row>
    <row r="733" spans="3:19" ht="15" hidden="1" customHeight="1">
      <c r="C733" s="415"/>
      <c r="D733" s="426"/>
      <c r="E733" s="273"/>
      <c r="F733" s="426"/>
      <c r="G733" s="194"/>
      <c r="H733" s="194"/>
      <c r="I733" s="413"/>
      <c r="J733" s="183"/>
    </row>
    <row r="734" spans="3:19" ht="15" hidden="1" customHeight="1">
      <c r="C734" s="199"/>
      <c r="D734" s="296"/>
      <c r="E734" s="296"/>
      <c r="F734" s="296"/>
      <c r="G734" s="400"/>
      <c r="H734" s="400"/>
      <c r="I734" s="422"/>
      <c r="J734" s="186"/>
    </row>
    <row r="735" spans="3:19" ht="15" hidden="1" customHeight="1">
      <c r="C735" s="176"/>
      <c r="D735" s="470"/>
      <c r="E735" s="470"/>
      <c r="F735" s="470"/>
      <c r="G735" s="470"/>
      <c r="H735" s="470"/>
      <c r="I735" s="108"/>
      <c r="J735" s="109"/>
      <c r="M735" s="129"/>
      <c r="N735" s="129"/>
      <c r="O735" s="129"/>
      <c r="P735" s="129"/>
      <c r="Q735" s="129"/>
      <c r="R735" s="129"/>
      <c r="S735" s="129"/>
    </row>
    <row r="736" spans="3:19" ht="15" hidden="1" customHeight="1">
      <c r="C736" s="176"/>
      <c r="D736" s="534"/>
      <c r="E736" s="534"/>
      <c r="F736" s="534"/>
      <c r="G736" s="534"/>
      <c r="H736" s="534"/>
      <c r="I736" s="176"/>
      <c r="J736" s="145"/>
      <c r="M736" s="129"/>
      <c r="N736" s="129"/>
      <c r="O736" s="129"/>
      <c r="P736" s="129"/>
      <c r="Q736" s="129"/>
      <c r="R736" s="129"/>
      <c r="S736" s="129"/>
    </row>
    <row r="737" spans="3:19" ht="15" hidden="1" customHeight="1">
      <c r="C737" s="415"/>
      <c r="D737" s="194"/>
      <c r="E737" s="194"/>
      <c r="F737" s="194"/>
      <c r="G737" s="194"/>
      <c r="H737" s="194"/>
      <c r="I737" s="413"/>
      <c r="J737" s="183"/>
    </row>
    <row r="738" spans="3:19" ht="15" hidden="1" customHeight="1">
      <c r="C738" s="415"/>
      <c r="D738" s="194"/>
      <c r="E738" s="414"/>
      <c r="F738" s="194"/>
      <c r="G738" s="194"/>
      <c r="H738" s="414"/>
      <c r="I738" s="194"/>
      <c r="J738" s="183"/>
    </row>
    <row r="739" spans="3:19" ht="15" hidden="1" customHeight="1">
      <c r="C739" s="415"/>
      <c r="D739" s="194"/>
      <c r="E739" s="414"/>
      <c r="F739" s="194"/>
      <c r="G739" s="194"/>
      <c r="H739" s="414"/>
      <c r="I739" s="194"/>
      <c r="J739" s="183"/>
    </row>
    <row r="740" spans="3:19" ht="15" hidden="1" customHeight="1">
      <c r="C740" s="415"/>
      <c r="D740" s="194"/>
      <c r="E740" s="195"/>
      <c r="F740" s="194"/>
      <c r="G740" s="194"/>
      <c r="H740" s="195"/>
      <c r="I740" s="194"/>
      <c r="J740" s="183"/>
    </row>
    <row r="741" spans="3:19" ht="15" hidden="1" customHeight="1">
      <c r="C741" s="415"/>
      <c r="D741" s="194"/>
      <c r="E741" s="414"/>
      <c r="F741" s="194"/>
      <c r="G741" s="194"/>
      <c r="H741" s="414"/>
      <c r="I741" s="194"/>
      <c r="J741" s="183"/>
    </row>
    <row r="742" spans="3:19" ht="15" hidden="1" customHeight="1">
      <c r="C742" s="415"/>
      <c r="D742" s="194"/>
      <c r="E742" s="414"/>
      <c r="F742" s="194"/>
      <c r="G742" s="194"/>
      <c r="H742" s="414"/>
      <c r="I742" s="194"/>
      <c r="J742" s="183"/>
    </row>
    <row r="743" spans="3:19" ht="15" hidden="1" customHeight="1">
      <c r="C743" s="415"/>
      <c r="D743" s="194"/>
      <c r="E743" s="414"/>
      <c r="F743" s="194"/>
      <c r="G743" s="194"/>
      <c r="H743" s="414"/>
      <c r="I743" s="194"/>
      <c r="J743" s="183"/>
    </row>
    <row r="744" spans="3:19" ht="15" hidden="1" customHeight="1" thickBot="1">
      <c r="C744" s="415"/>
      <c r="D744" s="194"/>
      <c r="E744" s="195"/>
      <c r="F744" s="194"/>
      <c r="G744" s="194"/>
      <c r="H744" s="414"/>
      <c r="I744" s="194"/>
      <c r="J744" s="183"/>
    </row>
    <row r="745" spans="3:19" ht="15" hidden="1" customHeight="1" thickBot="1">
      <c r="C745" s="335"/>
      <c r="D745" s="535"/>
      <c r="E745" s="535"/>
      <c r="F745" s="535"/>
      <c r="G745" s="535"/>
      <c r="H745" s="535"/>
      <c r="I745" s="203"/>
      <c r="J745" s="271"/>
    </row>
    <row r="746" spans="3:19" ht="15" hidden="1" customHeight="1">
      <c r="C746" s="254"/>
      <c r="D746" s="538"/>
      <c r="E746" s="538"/>
      <c r="F746" s="538"/>
      <c r="G746" s="538"/>
      <c r="H746" s="538"/>
      <c r="I746" s="205"/>
      <c r="J746" s="144"/>
      <c r="M746" s="129"/>
      <c r="N746" s="129"/>
      <c r="O746" s="129"/>
      <c r="P746" s="129"/>
      <c r="Q746" s="129"/>
      <c r="R746" s="129"/>
      <c r="S746" s="129"/>
    </row>
    <row r="747" spans="3:19" ht="15" hidden="1" customHeight="1">
      <c r="C747" s="176"/>
      <c r="D747" s="534"/>
      <c r="E747" s="534"/>
      <c r="F747" s="534"/>
      <c r="G747" s="534"/>
      <c r="H747" s="534"/>
      <c r="I747" s="176"/>
      <c r="J747" s="145"/>
      <c r="M747" s="129"/>
      <c r="N747" s="129"/>
      <c r="O747" s="129"/>
      <c r="P747" s="129"/>
      <c r="Q747" s="129"/>
      <c r="R747" s="129"/>
      <c r="S747" s="129"/>
    </row>
    <row r="748" spans="3:19" ht="15" hidden="1" customHeight="1">
      <c r="C748" s="176"/>
      <c r="D748" s="534"/>
      <c r="E748" s="534"/>
      <c r="F748" s="534"/>
      <c r="G748" s="534"/>
      <c r="H748" s="534"/>
      <c r="I748" s="176"/>
      <c r="J748" s="145"/>
      <c r="M748" s="129"/>
      <c r="N748" s="129"/>
      <c r="O748" s="129"/>
      <c r="P748" s="129"/>
      <c r="Q748" s="129"/>
      <c r="R748" s="129"/>
      <c r="S748" s="129"/>
    </row>
    <row r="749" spans="3:19" ht="15" hidden="1" customHeight="1">
      <c r="C749" s="176"/>
      <c r="D749" s="534"/>
      <c r="E749" s="534"/>
      <c r="F749" s="534"/>
      <c r="G749" s="534"/>
      <c r="H749" s="534"/>
      <c r="I749" s="176"/>
      <c r="J749" s="145"/>
    </row>
    <row r="750" spans="3:19" ht="15" hidden="1" customHeight="1">
      <c r="C750" s="176"/>
      <c r="D750" s="534"/>
      <c r="E750" s="534"/>
      <c r="F750" s="534"/>
      <c r="G750" s="534"/>
      <c r="H750" s="534"/>
      <c r="I750" s="176"/>
      <c r="J750" s="145"/>
    </row>
    <row r="751" spans="3:19" ht="15" hidden="1" customHeight="1">
      <c r="C751" s="176"/>
      <c r="D751" s="534"/>
      <c r="E751" s="534"/>
      <c r="F751" s="534"/>
      <c r="G751" s="534"/>
      <c r="H751" s="534"/>
      <c r="I751" s="176"/>
      <c r="J751" s="145"/>
    </row>
    <row r="752" spans="3:19" ht="15" hidden="1" customHeight="1">
      <c r="C752" s="176"/>
      <c r="D752" s="534"/>
      <c r="E752" s="534"/>
      <c r="F752" s="534"/>
      <c r="G752" s="534"/>
      <c r="H752" s="534"/>
      <c r="I752" s="176"/>
      <c r="J752" s="144"/>
    </row>
    <row r="753" spans="3:19" ht="15" hidden="1" customHeight="1">
      <c r="C753" s="176"/>
      <c r="D753" s="534"/>
      <c r="E753" s="534"/>
      <c r="F753" s="534"/>
      <c r="G753" s="534"/>
      <c r="H753" s="534"/>
      <c r="I753" s="176"/>
      <c r="J753" s="145"/>
    </row>
    <row r="754" spans="3:19" ht="15" hidden="1" customHeight="1">
      <c r="C754" s="176"/>
      <c r="D754" s="534"/>
      <c r="E754" s="534"/>
      <c r="F754" s="534"/>
      <c r="G754" s="534"/>
      <c r="H754" s="534"/>
      <c r="I754" s="176"/>
      <c r="J754" s="145"/>
    </row>
    <row r="755" spans="3:19" ht="15" hidden="1" customHeight="1">
      <c r="C755" s="176"/>
      <c r="D755" s="534"/>
      <c r="E755" s="534"/>
      <c r="F755" s="534"/>
      <c r="G755" s="534"/>
      <c r="H755" s="534"/>
      <c r="I755" s="176"/>
      <c r="J755" s="145"/>
    </row>
    <row r="756" spans="3:19" ht="15" hidden="1" customHeight="1">
      <c r="C756" s="176"/>
      <c r="D756" s="534"/>
      <c r="E756" s="534"/>
      <c r="F756" s="534"/>
      <c r="G756" s="534"/>
      <c r="H756" s="534"/>
      <c r="I756" s="176"/>
      <c r="J756" s="144"/>
    </row>
    <row r="757" spans="3:19" ht="15" hidden="1" customHeight="1">
      <c r="C757" s="176"/>
      <c r="D757" s="534"/>
      <c r="E757" s="534"/>
      <c r="F757" s="534"/>
      <c r="G757" s="534"/>
      <c r="H757" s="534"/>
      <c r="I757" s="176"/>
      <c r="J757" s="145"/>
      <c r="M757" s="129"/>
      <c r="N757" s="129"/>
      <c r="O757" s="129"/>
      <c r="P757" s="129"/>
      <c r="Q757" s="129"/>
      <c r="R757" s="129"/>
      <c r="S757" s="129"/>
    </row>
    <row r="758" spans="3:19" ht="15" hidden="1" customHeight="1">
      <c r="C758" s="176"/>
      <c r="D758" s="534"/>
      <c r="E758" s="534"/>
      <c r="F758" s="534"/>
      <c r="G758" s="534"/>
      <c r="H758" s="534"/>
      <c r="I758" s="176"/>
      <c r="J758" s="145"/>
      <c r="M758" s="129"/>
      <c r="N758" s="129"/>
      <c r="O758" s="129"/>
      <c r="P758" s="129"/>
      <c r="Q758" s="129"/>
      <c r="R758" s="129"/>
      <c r="S758" s="129"/>
    </row>
    <row r="759" spans="3:19" ht="15" hidden="1" customHeight="1">
      <c r="C759" s="176"/>
      <c r="D759" s="534"/>
      <c r="E759" s="534"/>
      <c r="F759" s="534"/>
      <c r="G759" s="534"/>
      <c r="H759" s="534"/>
      <c r="I759" s="176"/>
      <c r="J759" s="145"/>
    </row>
    <row r="760" spans="3:19" ht="15" hidden="1" customHeight="1">
      <c r="C760" s="176"/>
      <c r="D760" s="534"/>
      <c r="E760" s="534"/>
      <c r="F760" s="534"/>
      <c r="G760" s="534"/>
      <c r="H760" s="534"/>
      <c r="I760" s="176"/>
      <c r="J760" s="145"/>
    </row>
    <row r="761" spans="3:19" ht="15" hidden="1" customHeight="1">
      <c r="C761" s="176"/>
      <c r="D761" s="534"/>
      <c r="E761" s="534"/>
      <c r="F761" s="534"/>
      <c r="G761" s="534"/>
      <c r="H761" s="534"/>
      <c r="I761" s="176"/>
      <c r="J761" s="145"/>
    </row>
    <row r="762" spans="3:19" ht="15" hidden="1" customHeight="1">
      <c r="C762" s="176"/>
      <c r="D762" s="534"/>
      <c r="E762" s="534"/>
      <c r="F762" s="534"/>
      <c r="G762" s="534"/>
      <c r="H762" s="534"/>
      <c r="I762" s="176"/>
      <c r="J762" s="144"/>
    </row>
    <row r="763" spans="3:19" ht="15" hidden="1" customHeight="1">
      <c r="C763" s="176"/>
      <c r="D763" s="534"/>
      <c r="E763" s="534"/>
      <c r="F763" s="534"/>
      <c r="G763" s="534"/>
      <c r="H763" s="534"/>
      <c r="I763" s="176"/>
      <c r="J763" s="145"/>
      <c r="M763" s="129"/>
      <c r="N763" s="129"/>
      <c r="O763" s="129"/>
      <c r="P763" s="129"/>
      <c r="Q763" s="129"/>
      <c r="R763" s="129"/>
      <c r="S763" s="129"/>
    </row>
    <row r="764" spans="3:19" ht="15" hidden="1" customHeight="1">
      <c r="C764" s="176"/>
      <c r="D764" s="534"/>
      <c r="E764" s="534"/>
      <c r="F764" s="534"/>
      <c r="G764" s="534"/>
      <c r="H764" s="534"/>
      <c r="I764" s="176"/>
      <c r="J764" s="145"/>
      <c r="M764" s="129"/>
      <c r="N764" s="129"/>
      <c r="O764" s="129"/>
      <c r="P764" s="129"/>
      <c r="Q764" s="129"/>
      <c r="R764" s="129"/>
      <c r="S764" s="129"/>
    </row>
    <row r="765" spans="3:19" ht="15" hidden="1" customHeight="1">
      <c r="C765" s="176"/>
      <c r="D765" s="534"/>
      <c r="E765" s="534"/>
      <c r="F765" s="534"/>
      <c r="G765" s="534"/>
      <c r="H765" s="534"/>
      <c r="I765" s="176"/>
      <c r="J765" s="144"/>
    </row>
    <row r="766" spans="3:19" ht="15" hidden="1" customHeight="1">
      <c r="C766" s="176"/>
      <c r="D766" s="534"/>
      <c r="E766" s="534"/>
      <c r="F766" s="534"/>
      <c r="G766" s="534"/>
      <c r="H766" s="534"/>
      <c r="I766" s="176"/>
      <c r="J766" s="145"/>
      <c r="M766" s="129"/>
      <c r="N766" s="129"/>
      <c r="O766" s="129"/>
      <c r="P766" s="129"/>
      <c r="Q766" s="129"/>
      <c r="R766" s="129"/>
      <c r="S766" s="129"/>
    </row>
    <row r="767" spans="3:19" ht="15" hidden="1" customHeight="1">
      <c r="C767" s="176"/>
      <c r="D767" s="534"/>
      <c r="E767" s="534"/>
      <c r="F767" s="534"/>
      <c r="G767" s="534"/>
      <c r="H767" s="534"/>
      <c r="I767" s="176"/>
      <c r="J767" s="145"/>
      <c r="M767" s="129"/>
      <c r="N767" s="129"/>
      <c r="O767" s="129"/>
      <c r="P767" s="129"/>
      <c r="Q767" s="129"/>
      <c r="R767" s="129"/>
      <c r="S767" s="129"/>
    </row>
    <row r="768" spans="3:19" ht="15" hidden="1" customHeight="1">
      <c r="C768" s="176"/>
      <c r="D768" s="534"/>
      <c r="E768" s="534"/>
      <c r="F768" s="534"/>
      <c r="G768" s="534"/>
      <c r="H768" s="534"/>
      <c r="I768" s="176"/>
      <c r="J768" s="145"/>
      <c r="M768" s="129"/>
      <c r="N768" s="129"/>
      <c r="O768" s="129"/>
      <c r="P768" s="129"/>
      <c r="Q768" s="129"/>
      <c r="R768" s="129"/>
      <c r="S768" s="129"/>
    </row>
    <row r="769" spans="3:19" ht="15" hidden="1" customHeight="1">
      <c r="C769" s="176"/>
      <c r="D769" s="534"/>
      <c r="E769" s="534"/>
      <c r="F769" s="534"/>
      <c r="G769" s="534"/>
      <c r="H769" s="534"/>
      <c r="I769" s="176"/>
      <c r="J769" s="145"/>
      <c r="M769" s="129"/>
      <c r="N769" s="129"/>
      <c r="O769" s="129"/>
      <c r="P769" s="129"/>
      <c r="Q769" s="129"/>
      <c r="R769" s="129"/>
      <c r="S769" s="129"/>
    </row>
    <row r="770" spans="3:19" ht="15" hidden="1" customHeight="1">
      <c r="C770" s="176"/>
      <c r="D770" s="534"/>
      <c r="E770" s="534"/>
      <c r="F770" s="534"/>
      <c r="G770" s="534"/>
      <c r="H770" s="534"/>
      <c r="I770" s="176"/>
      <c r="J770" s="145"/>
      <c r="M770" s="129"/>
      <c r="N770" s="129"/>
      <c r="O770" s="129"/>
      <c r="P770" s="129"/>
      <c r="Q770" s="129"/>
      <c r="R770" s="129"/>
      <c r="S770" s="129"/>
    </row>
    <row r="771" spans="3:19" ht="15" hidden="1" customHeight="1">
      <c r="C771" s="176"/>
      <c r="D771" s="534"/>
      <c r="E771" s="534"/>
      <c r="F771" s="534"/>
      <c r="G771" s="534"/>
      <c r="H771" s="534"/>
      <c r="I771" s="176"/>
      <c r="J771" s="145"/>
      <c r="M771" s="129"/>
      <c r="N771" s="129"/>
      <c r="O771" s="129"/>
      <c r="P771" s="129"/>
      <c r="Q771" s="129"/>
      <c r="R771" s="129"/>
      <c r="S771" s="129"/>
    </row>
    <row r="772" spans="3:19" ht="15" hidden="1" customHeight="1">
      <c r="C772" s="176"/>
      <c r="D772" s="534"/>
      <c r="E772" s="534"/>
      <c r="F772" s="534"/>
      <c r="G772" s="534"/>
      <c r="H772" s="534"/>
      <c r="I772" s="176"/>
      <c r="J772" s="145"/>
    </row>
    <row r="773" spans="3:19" ht="15" hidden="1" customHeight="1">
      <c r="C773" s="176"/>
      <c r="D773" s="534"/>
      <c r="E773" s="534"/>
      <c r="F773" s="534"/>
      <c r="G773" s="534"/>
      <c r="H773" s="534"/>
      <c r="I773" s="176"/>
      <c r="J773" s="145"/>
    </row>
    <row r="774" spans="3:19" ht="15" hidden="1" customHeight="1">
      <c r="C774" s="176"/>
      <c r="D774" s="534"/>
      <c r="E774" s="534"/>
      <c r="F774" s="534"/>
      <c r="G774" s="534"/>
      <c r="H774" s="534"/>
      <c r="I774" s="176"/>
      <c r="J774" s="144"/>
    </row>
    <row r="775" spans="3:19" ht="15" hidden="1" customHeight="1">
      <c r="C775" s="176"/>
      <c r="D775" s="534"/>
      <c r="E775" s="534"/>
      <c r="F775" s="534"/>
      <c r="G775" s="534"/>
      <c r="H775" s="534"/>
      <c r="I775" s="176"/>
      <c r="J775" s="145"/>
      <c r="M775" s="129"/>
      <c r="N775" s="129"/>
      <c r="O775" s="129"/>
      <c r="P775" s="129"/>
      <c r="Q775" s="129"/>
      <c r="R775" s="129"/>
      <c r="S775" s="129"/>
    </row>
    <row r="776" spans="3:19" ht="15" hidden="1" customHeight="1">
      <c r="C776" s="176"/>
      <c r="D776" s="534"/>
      <c r="E776" s="534"/>
      <c r="F776" s="534"/>
      <c r="G776" s="534"/>
      <c r="H776" s="534"/>
      <c r="I776" s="176"/>
      <c r="J776" s="145"/>
      <c r="M776" s="129"/>
      <c r="N776" s="129"/>
      <c r="O776" s="129"/>
      <c r="P776" s="129"/>
      <c r="Q776" s="129"/>
      <c r="R776" s="129"/>
      <c r="S776" s="129"/>
    </row>
    <row r="777" spans="3:19" ht="15" hidden="1" customHeight="1">
      <c r="C777" s="176"/>
      <c r="D777" s="534"/>
      <c r="E777" s="534"/>
      <c r="F777" s="534"/>
      <c r="G777" s="534"/>
      <c r="H777" s="534"/>
      <c r="I777" s="176"/>
      <c r="J777" s="145"/>
      <c r="M777" s="129"/>
      <c r="N777" s="129"/>
      <c r="O777" s="129"/>
      <c r="P777" s="129"/>
      <c r="Q777" s="129"/>
      <c r="R777" s="129"/>
      <c r="S777" s="129"/>
    </row>
    <row r="778" spans="3:19" ht="15" hidden="1" customHeight="1">
      <c r="C778" s="176"/>
      <c r="D778" s="534"/>
      <c r="E778" s="534"/>
      <c r="F778" s="534"/>
      <c r="G778" s="534"/>
      <c r="H778" s="534"/>
      <c r="I778" s="176"/>
      <c r="J778" s="145"/>
    </row>
    <row r="779" spans="3:19" ht="15" hidden="1" customHeight="1">
      <c r="C779" s="176"/>
      <c r="D779" s="534"/>
      <c r="E779" s="534"/>
      <c r="F779" s="534"/>
      <c r="G779" s="534"/>
      <c r="H779" s="534"/>
      <c r="I779" s="176"/>
      <c r="J779" s="145"/>
    </row>
    <row r="780" spans="3:19" ht="15" hidden="1" customHeight="1">
      <c r="C780" s="176"/>
      <c r="D780" s="534"/>
      <c r="E780" s="534"/>
      <c r="F780" s="534"/>
      <c r="G780" s="534"/>
      <c r="H780" s="534"/>
      <c r="I780" s="176"/>
      <c r="J780" s="145"/>
    </row>
    <row r="781" spans="3:19" ht="15" hidden="1" customHeight="1">
      <c r="C781" s="176"/>
      <c r="D781" s="534"/>
      <c r="E781" s="534"/>
      <c r="F781" s="534"/>
      <c r="G781" s="534"/>
      <c r="H781" s="534"/>
      <c r="I781" s="176"/>
      <c r="J781" s="145"/>
      <c r="M781" s="129"/>
      <c r="N781" s="129"/>
      <c r="O781" s="129"/>
      <c r="P781" s="129"/>
      <c r="Q781" s="129"/>
      <c r="R781" s="129"/>
      <c r="S781" s="129"/>
    </row>
    <row r="782" spans="3:19" ht="15" hidden="1" customHeight="1">
      <c r="C782" s="176"/>
      <c r="D782" s="534"/>
      <c r="E782" s="534"/>
      <c r="F782" s="534"/>
      <c r="G782" s="534"/>
      <c r="H782" s="534"/>
      <c r="I782" s="176"/>
      <c r="J782" s="145"/>
    </row>
    <row r="783" spans="3:19" ht="15" hidden="1" customHeight="1">
      <c r="C783" s="176"/>
      <c r="D783" s="534"/>
      <c r="E783" s="534"/>
      <c r="F783" s="534"/>
      <c r="G783" s="534"/>
      <c r="H783" s="534"/>
      <c r="I783" s="176"/>
      <c r="J783" s="145"/>
    </row>
    <row r="784" spans="3:19" ht="15" hidden="1" customHeight="1">
      <c r="C784" s="176"/>
      <c r="D784" s="534"/>
      <c r="E784" s="534"/>
      <c r="F784" s="534"/>
      <c r="G784" s="534"/>
      <c r="H784" s="534"/>
      <c r="I784" s="176"/>
      <c r="J784" s="144"/>
    </row>
    <row r="785" spans="3:19" ht="15" hidden="1" customHeight="1">
      <c r="C785" s="176"/>
      <c r="D785" s="534"/>
      <c r="E785" s="534"/>
      <c r="F785" s="534"/>
      <c r="G785" s="534"/>
      <c r="H785" s="534"/>
      <c r="I785" s="176"/>
      <c r="J785" s="145"/>
      <c r="M785" s="129"/>
      <c r="N785" s="129"/>
      <c r="O785" s="129"/>
      <c r="P785" s="129"/>
      <c r="Q785" s="129"/>
      <c r="R785" s="129"/>
      <c r="S785" s="129"/>
    </row>
    <row r="786" spans="3:19" ht="15" hidden="1" customHeight="1">
      <c r="C786" s="176"/>
      <c r="D786" s="534"/>
      <c r="E786" s="534"/>
      <c r="F786" s="534"/>
      <c r="G786" s="534"/>
      <c r="H786" s="534"/>
      <c r="I786" s="176"/>
      <c r="J786" s="145"/>
      <c r="M786" s="129"/>
      <c r="N786" s="129"/>
      <c r="O786" s="129"/>
      <c r="P786" s="129"/>
      <c r="Q786" s="129"/>
      <c r="R786" s="129"/>
      <c r="S786" s="129"/>
    </row>
    <row r="787" spans="3:19" ht="15" hidden="1" customHeight="1">
      <c r="C787" s="176"/>
      <c r="D787" s="534"/>
      <c r="E787" s="534"/>
      <c r="F787" s="534"/>
      <c r="G787" s="534"/>
      <c r="H787" s="534"/>
      <c r="I787" s="176"/>
      <c r="J787" s="145"/>
      <c r="M787" s="129"/>
      <c r="N787" s="129"/>
      <c r="O787" s="129"/>
      <c r="P787" s="129"/>
      <c r="Q787" s="129"/>
      <c r="R787" s="129"/>
      <c r="S787" s="129"/>
    </row>
    <row r="788" spans="3:19" ht="15" hidden="1" customHeight="1">
      <c r="C788" s="176"/>
      <c r="D788" s="534"/>
      <c r="E788" s="534"/>
      <c r="F788" s="534"/>
      <c r="G788" s="534"/>
      <c r="H788" s="534"/>
      <c r="I788" s="176"/>
      <c r="J788" s="145"/>
    </row>
    <row r="789" spans="3:19" ht="15" hidden="1" customHeight="1">
      <c r="C789" s="176"/>
      <c r="D789" s="534"/>
      <c r="E789" s="534"/>
      <c r="F789" s="534"/>
      <c r="G789" s="534"/>
      <c r="H789" s="534"/>
      <c r="I789" s="176"/>
      <c r="J789" s="145"/>
    </row>
    <row r="790" spans="3:19" ht="15" hidden="1" customHeight="1">
      <c r="C790" s="176"/>
      <c r="D790" s="534"/>
      <c r="E790" s="534"/>
      <c r="F790" s="534"/>
      <c r="G790" s="534"/>
      <c r="H790" s="534"/>
      <c r="I790" s="176"/>
      <c r="J790" s="145"/>
    </row>
    <row r="791" spans="3:19" ht="15" hidden="1" customHeight="1">
      <c r="C791" s="176"/>
      <c r="D791" s="534"/>
      <c r="E791" s="534"/>
      <c r="F791" s="534"/>
      <c r="G791" s="534"/>
      <c r="H791" s="534"/>
      <c r="I791" s="176"/>
      <c r="J791" s="145"/>
    </row>
    <row r="792" spans="3:19" ht="15" hidden="1" customHeight="1">
      <c r="C792" s="176"/>
      <c r="D792" s="534"/>
      <c r="E792" s="534"/>
      <c r="F792" s="534"/>
      <c r="G792" s="534"/>
      <c r="H792" s="534"/>
      <c r="I792" s="176"/>
      <c r="J792" s="144"/>
      <c r="M792" s="129"/>
      <c r="N792" s="129"/>
      <c r="O792" s="129"/>
      <c r="P792" s="129"/>
      <c r="Q792" s="129"/>
      <c r="R792" s="129"/>
      <c r="S792" s="129"/>
    </row>
    <row r="793" spans="3:19" ht="15" hidden="1" customHeight="1">
      <c r="C793" s="176"/>
      <c r="D793" s="534"/>
      <c r="E793" s="534"/>
      <c r="F793" s="534"/>
      <c r="G793" s="534"/>
      <c r="H793" s="534"/>
      <c r="I793" s="176"/>
      <c r="J793" s="145"/>
    </row>
    <row r="794" spans="3:19" ht="15" hidden="1" customHeight="1">
      <c r="C794" s="176"/>
      <c r="D794" s="534"/>
      <c r="E794" s="534"/>
      <c r="F794" s="534"/>
      <c r="G794" s="534"/>
      <c r="H794" s="534"/>
      <c r="I794" s="176"/>
      <c r="J794" s="144"/>
      <c r="M794" s="129"/>
      <c r="N794" s="129"/>
      <c r="O794" s="129"/>
      <c r="P794" s="129"/>
      <c r="Q794" s="129"/>
      <c r="R794" s="129"/>
      <c r="S794" s="129"/>
    </row>
    <row r="795" spans="3:19" ht="15" hidden="1" customHeight="1">
      <c r="C795" s="176"/>
      <c r="D795" s="534"/>
      <c r="E795" s="534"/>
      <c r="F795" s="534"/>
      <c r="G795" s="534"/>
      <c r="H795" s="534"/>
      <c r="I795" s="176"/>
      <c r="J795" s="145"/>
    </row>
    <row r="796" spans="3:19" ht="15" hidden="1" customHeight="1">
      <c r="C796" s="176"/>
      <c r="D796" s="534"/>
      <c r="E796" s="534"/>
      <c r="F796" s="534"/>
      <c r="G796" s="534"/>
      <c r="H796" s="534"/>
      <c r="I796" s="176"/>
      <c r="J796" s="144"/>
      <c r="M796" s="129"/>
      <c r="N796" s="129"/>
      <c r="O796" s="129"/>
      <c r="P796" s="129"/>
      <c r="Q796" s="129"/>
      <c r="R796" s="129"/>
      <c r="S796" s="129"/>
    </row>
    <row r="797" spans="3:19" ht="15" hidden="1" customHeight="1">
      <c r="C797" s="176"/>
      <c r="D797" s="534"/>
      <c r="E797" s="534"/>
      <c r="F797" s="534"/>
      <c r="G797" s="534"/>
      <c r="H797" s="534"/>
      <c r="I797" s="176"/>
      <c r="J797" s="145"/>
      <c r="M797" s="129"/>
      <c r="N797" s="129"/>
      <c r="O797" s="129"/>
      <c r="P797" s="129"/>
      <c r="Q797" s="129"/>
      <c r="R797" s="129"/>
      <c r="S797" s="129"/>
    </row>
    <row r="798" spans="3:19" ht="15" hidden="1" customHeight="1">
      <c r="C798" s="176"/>
      <c r="D798" s="534"/>
      <c r="E798" s="534"/>
      <c r="F798" s="534"/>
      <c r="G798" s="534"/>
      <c r="H798" s="534"/>
      <c r="I798" s="176"/>
      <c r="J798" s="145"/>
      <c r="M798" s="129"/>
      <c r="N798" s="129"/>
      <c r="O798" s="129"/>
      <c r="P798" s="129"/>
      <c r="Q798" s="129"/>
      <c r="R798" s="129"/>
      <c r="S798" s="129"/>
    </row>
    <row r="799" spans="3:19" ht="15" hidden="1" customHeight="1">
      <c r="C799" s="176"/>
      <c r="D799" s="534"/>
      <c r="E799" s="534"/>
      <c r="F799" s="534"/>
      <c r="G799" s="534"/>
      <c r="H799" s="534"/>
      <c r="I799" s="176"/>
      <c r="J799" s="145"/>
    </row>
    <row r="800" spans="3:19" ht="15" hidden="1" customHeight="1">
      <c r="C800" s="176"/>
      <c r="D800" s="534"/>
      <c r="E800" s="534"/>
      <c r="F800" s="534"/>
      <c r="G800" s="534"/>
      <c r="H800" s="534"/>
      <c r="I800" s="176"/>
      <c r="J800" s="145"/>
    </row>
    <row r="801" spans="3:19" ht="15" hidden="1" customHeight="1">
      <c r="C801" s="176"/>
      <c r="D801" s="534"/>
      <c r="E801" s="534"/>
      <c r="F801" s="534"/>
      <c r="G801" s="534"/>
      <c r="H801" s="534"/>
      <c r="I801" s="176"/>
      <c r="J801" s="145"/>
    </row>
    <row r="802" spans="3:19" ht="15" hidden="1" customHeight="1">
      <c r="C802" s="176"/>
      <c r="D802" s="534"/>
      <c r="E802" s="534"/>
      <c r="F802" s="534"/>
      <c r="G802" s="534"/>
      <c r="H802" s="534"/>
      <c r="I802" s="176"/>
      <c r="J802" s="144"/>
    </row>
    <row r="803" spans="3:19" ht="15" hidden="1" customHeight="1">
      <c r="C803" s="176"/>
      <c r="D803" s="534"/>
      <c r="E803" s="534"/>
      <c r="F803" s="534"/>
      <c r="G803" s="534"/>
      <c r="H803" s="534"/>
      <c r="I803" s="176"/>
      <c r="J803" s="145"/>
      <c r="M803" s="129"/>
      <c r="N803" s="129"/>
      <c r="O803" s="129"/>
      <c r="P803" s="129"/>
      <c r="Q803" s="129"/>
      <c r="R803" s="129"/>
      <c r="S803" s="129"/>
    </row>
    <row r="804" spans="3:19" ht="15" hidden="1" customHeight="1">
      <c r="C804" s="176"/>
      <c r="D804" s="534"/>
      <c r="E804" s="534"/>
      <c r="F804" s="534"/>
      <c r="G804" s="534"/>
      <c r="H804" s="534"/>
      <c r="I804" s="176"/>
      <c r="J804" s="145"/>
      <c r="M804" s="129"/>
      <c r="N804" s="129"/>
      <c r="O804" s="129"/>
      <c r="P804" s="129"/>
      <c r="Q804" s="129"/>
      <c r="R804" s="129"/>
      <c r="S804" s="129"/>
    </row>
    <row r="805" spans="3:19" ht="15" hidden="1" customHeight="1">
      <c r="C805" s="176"/>
      <c r="D805" s="534"/>
      <c r="E805" s="534"/>
      <c r="F805" s="534"/>
      <c r="G805" s="534"/>
      <c r="H805" s="534"/>
      <c r="I805" s="176"/>
      <c r="J805" s="145"/>
      <c r="M805" s="129"/>
      <c r="N805" s="129"/>
      <c r="O805" s="129"/>
      <c r="P805" s="129"/>
      <c r="Q805" s="129"/>
      <c r="R805" s="129"/>
      <c r="S805" s="129"/>
    </row>
    <row r="806" spans="3:19" ht="15" hidden="1" customHeight="1">
      <c r="C806" s="176"/>
      <c r="D806" s="534"/>
      <c r="E806" s="534"/>
      <c r="F806" s="534"/>
      <c r="G806" s="534"/>
      <c r="H806" s="534"/>
      <c r="I806" s="176"/>
      <c r="J806" s="145"/>
    </row>
    <row r="807" spans="3:19" ht="15" hidden="1" customHeight="1">
      <c r="C807" s="176"/>
      <c r="D807" s="534"/>
      <c r="E807" s="534"/>
      <c r="F807" s="534"/>
      <c r="G807" s="534"/>
      <c r="H807" s="534"/>
      <c r="I807" s="176"/>
      <c r="J807" s="145"/>
    </row>
    <row r="808" spans="3:19" ht="15" hidden="1" customHeight="1">
      <c r="C808" s="176"/>
      <c r="D808" s="534"/>
      <c r="E808" s="534"/>
      <c r="F808" s="534"/>
      <c r="G808" s="534"/>
      <c r="H808" s="534"/>
      <c r="I808" s="176"/>
      <c r="J808" s="145"/>
    </row>
    <row r="809" spans="3:19" ht="15" hidden="1" customHeight="1">
      <c r="C809" s="176"/>
      <c r="D809" s="534"/>
      <c r="E809" s="534"/>
      <c r="F809" s="534"/>
      <c r="G809" s="534"/>
      <c r="H809" s="534"/>
      <c r="I809" s="176"/>
      <c r="J809" s="144"/>
    </row>
    <row r="810" spans="3:19" ht="15" hidden="1" customHeight="1">
      <c r="C810" s="176"/>
      <c r="D810" s="534"/>
      <c r="E810" s="534"/>
      <c r="F810" s="534"/>
      <c r="G810" s="534"/>
      <c r="H810" s="534"/>
      <c r="I810" s="176"/>
      <c r="J810" s="145"/>
      <c r="M810" s="129"/>
      <c r="N810" s="129"/>
      <c r="O810" s="129"/>
      <c r="P810" s="129"/>
      <c r="Q810" s="129"/>
      <c r="R810" s="129"/>
      <c r="S810" s="129"/>
    </row>
    <row r="811" spans="3:19" ht="15" hidden="1" customHeight="1">
      <c r="C811" s="176"/>
      <c r="D811" s="534"/>
      <c r="E811" s="534"/>
      <c r="F811" s="534"/>
      <c r="G811" s="534"/>
      <c r="H811" s="534"/>
      <c r="I811" s="176"/>
      <c r="J811" s="145"/>
      <c r="M811" s="129"/>
      <c r="N811" s="129"/>
      <c r="O811" s="129"/>
      <c r="P811" s="129"/>
      <c r="Q811" s="129"/>
      <c r="R811" s="129"/>
      <c r="S811" s="129"/>
    </row>
    <row r="812" spans="3:19" ht="15" hidden="1" customHeight="1">
      <c r="C812" s="176"/>
      <c r="D812" s="534"/>
      <c r="E812" s="534"/>
      <c r="F812" s="534"/>
      <c r="G812" s="534"/>
      <c r="H812" s="534"/>
      <c r="I812" s="176"/>
      <c r="J812" s="145"/>
      <c r="M812" s="129"/>
      <c r="N812" s="129"/>
      <c r="O812" s="129"/>
      <c r="P812" s="129"/>
      <c r="Q812" s="129"/>
      <c r="R812" s="129"/>
      <c r="S812" s="129"/>
    </row>
    <row r="813" spans="3:19" ht="15" hidden="1" customHeight="1">
      <c r="C813" s="176"/>
      <c r="D813" s="534"/>
      <c r="E813" s="534"/>
      <c r="F813" s="534"/>
      <c r="G813" s="534"/>
      <c r="H813" s="534"/>
      <c r="I813" s="176"/>
      <c r="J813" s="145"/>
    </row>
    <row r="814" spans="3:19" ht="15" hidden="1" customHeight="1">
      <c r="C814" s="176"/>
      <c r="D814" s="534"/>
      <c r="E814" s="534"/>
      <c r="F814" s="534"/>
      <c r="G814" s="534"/>
      <c r="H814" s="534"/>
      <c r="I814" s="176"/>
      <c r="J814" s="145"/>
    </row>
    <row r="815" spans="3:19" ht="15" hidden="1" customHeight="1">
      <c r="C815" s="176"/>
      <c r="D815" s="534"/>
      <c r="E815" s="534"/>
      <c r="F815" s="534"/>
      <c r="G815" s="534"/>
      <c r="H815" s="534"/>
      <c r="I815" s="176"/>
      <c r="J815" s="145"/>
    </row>
    <row r="816" spans="3:19" ht="15" hidden="1" customHeight="1">
      <c r="C816" s="176"/>
      <c r="D816" s="534"/>
      <c r="E816" s="534"/>
      <c r="F816" s="534"/>
      <c r="G816" s="534"/>
      <c r="H816" s="534"/>
      <c r="I816" s="176"/>
      <c r="J816" s="145"/>
    </row>
    <row r="817" spans="3:19" ht="15" hidden="1" customHeight="1">
      <c r="C817" s="176"/>
      <c r="D817" s="534"/>
      <c r="E817" s="534"/>
      <c r="F817" s="534"/>
      <c r="G817" s="534"/>
      <c r="H817" s="534"/>
      <c r="I817" s="176"/>
      <c r="J817" s="145"/>
      <c r="M817" s="129"/>
      <c r="N817" s="129"/>
      <c r="O817" s="129"/>
      <c r="P817" s="129"/>
      <c r="Q817" s="129"/>
      <c r="R817" s="129"/>
      <c r="S817" s="129"/>
    </row>
    <row r="818" spans="3:19" ht="15" hidden="1" customHeight="1">
      <c r="C818" s="176"/>
      <c r="D818" s="534"/>
      <c r="E818" s="534"/>
      <c r="F818" s="534"/>
      <c r="G818" s="534"/>
      <c r="H818" s="534"/>
      <c r="I818" s="176"/>
      <c r="J818" s="145"/>
      <c r="M818" s="129"/>
      <c r="N818" s="129"/>
      <c r="O818" s="129"/>
      <c r="P818" s="129"/>
      <c r="Q818" s="129"/>
      <c r="R818" s="129"/>
      <c r="S818" s="129"/>
    </row>
    <row r="819" spans="3:19" ht="15" hidden="1" customHeight="1">
      <c r="C819" s="176"/>
      <c r="D819" s="534"/>
      <c r="E819" s="534"/>
      <c r="F819" s="534"/>
      <c r="G819" s="534"/>
      <c r="H819" s="534"/>
      <c r="I819" s="176"/>
      <c r="J819" s="145"/>
      <c r="M819" s="129"/>
      <c r="N819" s="129"/>
      <c r="O819" s="129"/>
      <c r="P819" s="129"/>
      <c r="Q819" s="129"/>
      <c r="R819" s="129"/>
      <c r="S819" s="129"/>
    </row>
    <row r="820" spans="3:19" ht="15" hidden="1" customHeight="1">
      <c r="C820" s="176"/>
      <c r="D820" s="534"/>
      <c r="E820" s="534"/>
      <c r="F820" s="534"/>
      <c r="G820" s="534"/>
      <c r="H820" s="534"/>
      <c r="I820" s="176"/>
      <c r="J820" s="145"/>
    </row>
    <row r="821" spans="3:19" ht="15" hidden="1" customHeight="1">
      <c r="C821" s="176"/>
      <c r="D821" s="534"/>
      <c r="E821" s="534"/>
      <c r="F821" s="534"/>
      <c r="G821" s="534"/>
      <c r="H821" s="534"/>
      <c r="I821" s="176"/>
      <c r="J821" s="145"/>
      <c r="M821" s="129"/>
      <c r="N821" s="129"/>
      <c r="O821" s="129"/>
      <c r="P821" s="129"/>
      <c r="Q821" s="129"/>
      <c r="R821" s="129"/>
      <c r="S821" s="129"/>
    </row>
    <row r="822" spans="3:19" ht="15" hidden="1" customHeight="1">
      <c r="C822" s="176"/>
      <c r="D822" s="534"/>
      <c r="E822" s="534"/>
      <c r="F822" s="534"/>
      <c r="G822" s="534"/>
      <c r="H822" s="534"/>
      <c r="I822" s="176"/>
      <c r="J822" s="145"/>
      <c r="M822" s="129"/>
      <c r="N822" s="129"/>
      <c r="O822" s="129"/>
      <c r="P822" s="129"/>
      <c r="Q822" s="129"/>
      <c r="R822" s="129"/>
      <c r="S822" s="129"/>
    </row>
    <row r="823" spans="3:19" ht="15" hidden="1" customHeight="1">
      <c r="C823" s="176"/>
      <c r="D823" s="534"/>
      <c r="E823" s="534"/>
      <c r="F823" s="534"/>
      <c r="G823" s="534"/>
      <c r="H823" s="534"/>
      <c r="I823" s="176"/>
      <c r="J823" s="145"/>
      <c r="M823" s="129"/>
      <c r="N823" s="129"/>
      <c r="O823" s="129"/>
      <c r="P823" s="129"/>
      <c r="Q823" s="129"/>
      <c r="R823" s="129"/>
      <c r="S823" s="129"/>
    </row>
    <row r="824" spans="3:19" ht="15" hidden="1" customHeight="1">
      <c r="C824" s="176"/>
      <c r="D824" s="537"/>
      <c r="E824" s="537"/>
      <c r="F824" s="537"/>
      <c r="G824" s="537"/>
      <c r="H824" s="537"/>
      <c r="I824" s="176"/>
      <c r="J824" s="145"/>
      <c r="M824" s="129"/>
      <c r="N824" s="129"/>
      <c r="O824" s="129"/>
      <c r="P824" s="129"/>
      <c r="Q824" s="129"/>
      <c r="R824" s="129"/>
      <c r="S824" s="129"/>
    </row>
    <row r="825" spans="3:19" ht="15" hidden="1" customHeight="1">
      <c r="C825" s="176"/>
      <c r="D825" s="534"/>
      <c r="E825" s="534"/>
      <c r="F825" s="534"/>
      <c r="G825" s="534"/>
      <c r="H825" s="534"/>
      <c r="I825" s="176"/>
      <c r="J825" s="145"/>
    </row>
    <row r="826" spans="3:19" ht="15" hidden="1" customHeight="1">
      <c r="C826" s="176"/>
      <c r="D826" s="534"/>
      <c r="E826" s="534"/>
      <c r="F826" s="534"/>
      <c r="G826" s="534"/>
      <c r="H826" s="534"/>
      <c r="I826" s="176"/>
      <c r="J826" s="145"/>
    </row>
    <row r="827" spans="3:19" ht="15" hidden="1" customHeight="1">
      <c r="C827" s="176"/>
      <c r="D827" s="534"/>
      <c r="E827" s="534"/>
      <c r="F827" s="534"/>
      <c r="G827" s="534"/>
      <c r="H827" s="534"/>
      <c r="I827" s="176"/>
      <c r="J827" s="144"/>
    </row>
    <row r="828" spans="3:19" ht="15" hidden="1" customHeight="1">
      <c r="C828" s="176"/>
      <c r="D828" s="534"/>
      <c r="E828" s="534"/>
      <c r="F828" s="534"/>
      <c r="G828" s="534"/>
      <c r="H828" s="534"/>
      <c r="I828" s="176"/>
      <c r="J828" s="151"/>
      <c r="M828" s="129"/>
      <c r="N828" s="129"/>
      <c r="O828" s="129"/>
      <c r="P828" s="129"/>
      <c r="Q828" s="129"/>
      <c r="R828" s="129"/>
      <c r="S828" s="129"/>
    </row>
    <row r="829" spans="3:19" ht="15" hidden="1" customHeight="1">
      <c r="C829" s="176"/>
      <c r="D829" s="534"/>
      <c r="E829" s="534"/>
      <c r="F829" s="534"/>
      <c r="G829" s="534"/>
      <c r="H829" s="534"/>
      <c r="I829" s="176"/>
      <c r="J829" s="145"/>
      <c r="M829" s="129"/>
      <c r="N829" s="129"/>
      <c r="O829" s="129"/>
      <c r="P829" s="129"/>
      <c r="Q829" s="129"/>
      <c r="R829" s="129"/>
      <c r="S829" s="129"/>
    </row>
    <row r="830" spans="3:19" ht="15" hidden="1" customHeight="1">
      <c r="C830" s="176"/>
      <c r="D830" s="534"/>
      <c r="E830" s="534"/>
      <c r="F830" s="534"/>
      <c r="G830" s="534"/>
      <c r="H830" s="534"/>
      <c r="I830" s="176"/>
      <c r="J830" s="145"/>
    </row>
    <row r="831" spans="3:19" ht="15" hidden="1" customHeight="1">
      <c r="C831" s="176"/>
      <c r="D831" s="534"/>
      <c r="E831" s="534"/>
      <c r="F831" s="534"/>
      <c r="G831" s="534"/>
      <c r="H831" s="534"/>
      <c r="I831" s="176"/>
      <c r="J831" s="145"/>
      <c r="M831" s="129"/>
      <c r="N831" s="129"/>
      <c r="O831" s="129"/>
      <c r="P831" s="129"/>
      <c r="Q831" s="129"/>
      <c r="R831" s="129"/>
      <c r="S831" s="129"/>
    </row>
    <row r="832" spans="3:19" ht="15" hidden="1" customHeight="1">
      <c r="C832" s="176"/>
      <c r="D832" s="537"/>
      <c r="E832" s="537"/>
      <c r="F832" s="537"/>
      <c r="G832" s="537"/>
      <c r="H832" s="537"/>
      <c r="I832" s="176"/>
      <c r="J832" s="145"/>
      <c r="M832" s="129"/>
      <c r="N832" s="129"/>
      <c r="O832" s="129"/>
      <c r="P832" s="129"/>
      <c r="Q832" s="129"/>
      <c r="R832" s="129"/>
      <c r="S832" s="129"/>
    </row>
    <row r="833" spans="3:19" ht="15" hidden="1" customHeight="1">
      <c r="C833" s="176"/>
      <c r="D833" s="534"/>
      <c r="E833" s="534"/>
      <c r="F833" s="534"/>
      <c r="G833" s="534"/>
      <c r="H833" s="534"/>
      <c r="I833" s="176"/>
      <c r="J833" s="145"/>
      <c r="M833" s="129"/>
      <c r="N833" s="129"/>
      <c r="O833" s="129"/>
      <c r="P833" s="129"/>
      <c r="Q833" s="129"/>
      <c r="R833" s="129"/>
      <c r="S833" s="129"/>
    </row>
    <row r="834" spans="3:19" ht="15" hidden="1" customHeight="1">
      <c r="C834" s="176"/>
      <c r="D834" s="534"/>
      <c r="E834" s="534"/>
      <c r="F834" s="534"/>
      <c r="G834" s="534"/>
      <c r="H834" s="534"/>
      <c r="I834" s="176"/>
      <c r="J834" s="145"/>
    </row>
    <row r="835" spans="3:19" ht="15" hidden="1" customHeight="1">
      <c r="C835" s="176"/>
      <c r="D835" s="534"/>
      <c r="E835" s="534"/>
      <c r="F835" s="534"/>
      <c r="G835" s="534"/>
      <c r="H835" s="534"/>
      <c r="I835" s="176"/>
      <c r="J835" s="145"/>
    </row>
    <row r="836" spans="3:19" ht="15" hidden="1" customHeight="1">
      <c r="C836" s="176"/>
      <c r="D836" s="534"/>
      <c r="E836" s="534"/>
      <c r="F836" s="534"/>
      <c r="G836" s="534"/>
      <c r="H836" s="534"/>
      <c r="I836" s="176"/>
      <c r="J836" s="144"/>
    </row>
    <row r="837" spans="3:19" ht="15" hidden="1" customHeight="1">
      <c r="C837" s="176"/>
      <c r="D837" s="534"/>
      <c r="E837" s="534"/>
      <c r="F837" s="534"/>
      <c r="G837" s="534"/>
      <c r="H837" s="534"/>
      <c r="I837" s="176"/>
      <c r="J837" s="151"/>
      <c r="M837" s="129"/>
      <c r="N837" s="129"/>
      <c r="O837" s="129"/>
      <c r="P837" s="129"/>
      <c r="Q837" s="129"/>
      <c r="R837" s="129"/>
      <c r="S837" s="129"/>
    </row>
    <row r="838" spans="3:19" ht="15" hidden="1" customHeight="1">
      <c r="C838" s="176"/>
      <c r="D838" s="534"/>
      <c r="E838" s="534"/>
      <c r="F838" s="534"/>
      <c r="G838" s="534"/>
      <c r="H838" s="534"/>
      <c r="I838" s="176"/>
      <c r="J838" s="145"/>
      <c r="M838" s="129"/>
      <c r="N838" s="129"/>
      <c r="O838" s="129"/>
      <c r="P838" s="129"/>
      <c r="Q838" s="129"/>
      <c r="R838" s="129"/>
      <c r="S838" s="129"/>
    </row>
    <row r="839" spans="3:19" ht="15" hidden="1" customHeight="1">
      <c r="C839" s="176"/>
      <c r="D839" s="534"/>
      <c r="E839" s="534"/>
      <c r="F839" s="534"/>
      <c r="G839" s="534"/>
      <c r="H839" s="534"/>
      <c r="I839" s="176"/>
      <c r="J839" s="145"/>
    </row>
    <row r="840" spans="3:19" ht="15" hidden="1" customHeight="1">
      <c r="C840" s="176"/>
      <c r="D840" s="534"/>
      <c r="E840" s="534"/>
      <c r="F840" s="534"/>
      <c r="G840" s="534"/>
      <c r="H840" s="534"/>
      <c r="I840" s="176"/>
      <c r="J840" s="145"/>
    </row>
    <row r="841" spans="3:19" ht="15" hidden="1" customHeight="1">
      <c r="C841" s="176"/>
      <c r="D841" s="534"/>
      <c r="E841" s="534"/>
      <c r="F841" s="534"/>
      <c r="G841" s="534"/>
      <c r="H841" s="534"/>
      <c r="I841" s="176"/>
      <c r="J841" s="145"/>
    </row>
    <row r="842" spans="3:19" ht="15" hidden="1" customHeight="1">
      <c r="C842" s="176"/>
      <c r="D842" s="534"/>
      <c r="E842" s="534"/>
      <c r="F842" s="534"/>
      <c r="G842" s="534"/>
      <c r="H842" s="534"/>
      <c r="I842" s="176"/>
      <c r="J842" s="145"/>
      <c r="M842" s="129"/>
      <c r="N842" s="129"/>
      <c r="O842" s="129"/>
      <c r="P842" s="129"/>
      <c r="Q842" s="129"/>
      <c r="R842" s="129"/>
      <c r="S842" s="129"/>
    </row>
    <row r="843" spans="3:19" ht="15" hidden="1" customHeight="1">
      <c r="C843" s="176"/>
      <c r="D843" s="534"/>
      <c r="E843" s="534"/>
      <c r="F843" s="534"/>
      <c r="G843" s="534"/>
      <c r="H843" s="534"/>
      <c r="I843" s="176"/>
      <c r="J843" s="145"/>
      <c r="M843" s="129"/>
      <c r="N843" s="129"/>
      <c r="O843" s="129"/>
      <c r="P843" s="129"/>
      <c r="Q843" s="129"/>
      <c r="R843" s="129"/>
      <c r="S843" s="129"/>
    </row>
    <row r="844" spans="3:19" ht="15" hidden="1" customHeight="1">
      <c r="C844" s="176"/>
      <c r="D844" s="534"/>
      <c r="E844" s="534"/>
      <c r="F844" s="534"/>
      <c r="G844" s="534"/>
      <c r="H844" s="534"/>
      <c r="I844" s="176"/>
      <c r="J844" s="145"/>
      <c r="M844" s="129"/>
      <c r="N844" s="129"/>
      <c r="O844" s="129"/>
      <c r="P844" s="129"/>
      <c r="Q844" s="129"/>
      <c r="R844" s="129"/>
      <c r="S844" s="129"/>
    </row>
    <row r="845" spans="3:19" ht="15" hidden="1" customHeight="1">
      <c r="C845" s="176"/>
      <c r="D845" s="534"/>
      <c r="E845" s="534"/>
      <c r="F845" s="534"/>
      <c r="G845" s="534"/>
      <c r="H845" s="534"/>
      <c r="I845" s="176"/>
      <c r="J845" s="145"/>
    </row>
    <row r="846" spans="3:19" ht="15" hidden="1" customHeight="1">
      <c r="C846" s="176"/>
      <c r="D846" s="534"/>
      <c r="E846" s="534"/>
      <c r="F846" s="534"/>
      <c r="G846" s="534"/>
      <c r="H846" s="534"/>
      <c r="I846" s="176"/>
      <c r="J846" s="145"/>
    </row>
    <row r="847" spans="3:19" s="140" customFormat="1" ht="15" hidden="1" customHeight="1">
      <c r="C847" s="416"/>
      <c r="D847" s="537"/>
      <c r="E847" s="537"/>
      <c r="F847" s="537"/>
      <c r="G847" s="537"/>
      <c r="H847" s="537"/>
      <c r="I847" s="176"/>
      <c r="J847" s="145"/>
      <c r="K847" s="141"/>
      <c r="M847" s="142"/>
      <c r="N847" s="142"/>
      <c r="O847" s="142"/>
      <c r="P847" s="142"/>
      <c r="Q847" s="142"/>
    </row>
    <row r="848" spans="3:19" ht="15" hidden="1" customHeight="1" thickBot="1">
      <c r="C848" s="176"/>
      <c r="D848" s="534"/>
      <c r="E848" s="534"/>
      <c r="F848" s="534"/>
      <c r="G848" s="534"/>
      <c r="H848" s="534"/>
      <c r="I848" s="176"/>
      <c r="J848" s="145"/>
      <c r="M848" s="129"/>
      <c r="N848" s="129"/>
      <c r="O848" s="129"/>
      <c r="P848" s="129"/>
      <c r="Q848" s="129"/>
      <c r="R848" s="129"/>
      <c r="S848" s="129"/>
    </row>
    <row r="849" spans="3:10" ht="15" hidden="1" customHeight="1" thickBot="1">
      <c r="C849" s="335"/>
      <c r="D849" s="535"/>
      <c r="E849" s="535"/>
      <c r="F849" s="535"/>
      <c r="G849" s="535"/>
      <c r="H849" s="535"/>
      <c r="I849" s="203"/>
      <c r="J849" s="271"/>
    </row>
    <row r="850" spans="3:10" ht="15" hidden="1" customHeight="1">
      <c r="C850" s="176"/>
      <c r="D850" s="534"/>
      <c r="E850" s="534"/>
      <c r="F850" s="534"/>
      <c r="G850" s="534"/>
      <c r="H850" s="534"/>
      <c r="I850" s="176"/>
      <c r="J850" s="145"/>
    </row>
    <row r="851" spans="3:10" ht="15" hidden="1" customHeight="1">
      <c r="C851" s="176"/>
      <c r="D851" s="534"/>
      <c r="E851" s="534"/>
      <c r="F851" s="534"/>
      <c r="G851" s="534"/>
      <c r="H851" s="534"/>
      <c r="I851" s="176"/>
      <c r="J851" s="145"/>
    </row>
    <row r="852" spans="3:10" ht="15" hidden="1" customHeight="1">
      <c r="C852" s="176"/>
      <c r="D852" s="534"/>
      <c r="E852" s="534"/>
      <c r="F852" s="534"/>
      <c r="G852" s="534"/>
      <c r="H852" s="534"/>
      <c r="I852" s="176"/>
      <c r="J852" s="145"/>
    </row>
    <row r="853" spans="3:10" ht="15" hidden="1" customHeight="1">
      <c r="C853" s="176"/>
      <c r="D853" s="534"/>
      <c r="E853" s="534"/>
      <c r="F853" s="534"/>
      <c r="G853" s="534"/>
      <c r="H853" s="534"/>
      <c r="I853" s="176"/>
      <c r="J853" s="145"/>
    </row>
    <row r="854" spans="3:10" ht="15" hidden="1" customHeight="1">
      <c r="C854" s="176"/>
      <c r="D854" s="534"/>
      <c r="E854" s="534"/>
      <c r="F854" s="534"/>
      <c r="G854" s="534"/>
      <c r="H854" s="534"/>
      <c r="I854" s="176"/>
      <c r="J854" s="145"/>
    </row>
    <row r="855" spans="3:10" ht="15" hidden="1" customHeight="1">
      <c r="C855" s="176"/>
      <c r="D855" s="534"/>
      <c r="E855" s="534"/>
      <c r="F855" s="534"/>
      <c r="G855" s="534"/>
      <c r="H855" s="534"/>
      <c r="I855" s="176"/>
      <c r="J855" s="145"/>
    </row>
    <row r="856" spans="3:10" ht="15" hidden="1" customHeight="1">
      <c r="C856" s="176"/>
      <c r="D856" s="534"/>
      <c r="E856" s="534"/>
      <c r="F856" s="534"/>
      <c r="G856" s="534"/>
      <c r="H856" s="534"/>
      <c r="I856" s="176"/>
      <c r="J856" s="145"/>
    </row>
    <row r="857" spans="3:10" ht="15" hidden="1" customHeight="1">
      <c r="C857" s="176"/>
      <c r="D857" s="534"/>
      <c r="E857" s="534"/>
      <c r="F857" s="534"/>
      <c r="G857" s="534"/>
      <c r="H857" s="534"/>
      <c r="I857" s="176"/>
      <c r="J857" s="145"/>
    </row>
    <row r="858" spans="3:10" ht="15" hidden="1" customHeight="1" thickBot="1">
      <c r="C858" s="199"/>
      <c r="D858" s="400"/>
      <c r="E858" s="400"/>
      <c r="F858" s="400"/>
      <c r="G858" s="400"/>
      <c r="H858" s="400"/>
      <c r="I858" s="422"/>
      <c r="J858" s="186"/>
    </row>
    <row r="859" spans="3:10" ht="15" hidden="1" customHeight="1" thickBot="1">
      <c r="C859" s="335"/>
      <c r="D859" s="535"/>
      <c r="E859" s="535"/>
      <c r="F859" s="535"/>
      <c r="G859" s="535"/>
      <c r="H859" s="535"/>
      <c r="I859" s="203"/>
      <c r="J859" s="271"/>
    </row>
    <row r="860" spans="3:10" ht="15" hidden="1" customHeight="1" thickBot="1">
      <c r="C860" s="181"/>
      <c r="D860" s="536"/>
      <c r="E860" s="536"/>
      <c r="F860" s="536"/>
      <c r="G860" s="536"/>
      <c r="H860" s="536"/>
      <c r="I860" s="205"/>
      <c r="J860" s="271"/>
    </row>
    <row r="861" spans="3:10" ht="15" hidden="1" customHeight="1" thickBot="1">
      <c r="C861" s="335"/>
      <c r="D861" s="535"/>
      <c r="E861" s="535"/>
      <c r="F861" s="535"/>
      <c r="G861" s="535"/>
      <c r="H861" s="535"/>
      <c r="I861" s="203"/>
      <c r="J861" s="271"/>
    </row>
    <row r="862" spans="3:10" ht="9.75" customHeight="1">
      <c r="C862" s="140"/>
      <c r="D862" s="140"/>
      <c r="E862" s="140"/>
      <c r="F862" s="140"/>
      <c r="G862" s="140"/>
      <c r="H862" s="248"/>
      <c r="I862" s="140"/>
    </row>
    <row r="863" spans="3:10" ht="24.95" customHeight="1">
      <c r="C863" s="140"/>
      <c r="D863" s="140"/>
      <c r="E863" s="140"/>
      <c r="F863" s="140"/>
      <c r="G863" s="140"/>
      <c r="H863" s="248"/>
      <c r="I863" s="140"/>
    </row>
  </sheetData>
  <mergeCells count="382">
    <mergeCell ref="D309:H309"/>
    <mergeCell ref="D150:E150"/>
    <mergeCell ref="D71:E71"/>
    <mergeCell ref="D228:H228"/>
    <mergeCell ref="D234:H234"/>
    <mergeCell ref="D244:H244"/>
    <mergeCell ref="D220:H220"/>
    <mergeCell ref="D184:H184"/>
    <mergeCell ref="G65:I65"/>
    <mergeCell ref="D65:E65"/>
    <mergeCell ref="F92:G92"/>
    <mergeCell ref="D111:E111"/>
    <mergeCell ref="G111:H111"/>
    <mergeCell ref="D117:E117"/>
    <mergeCell ref="G117:H117"/>
    <mergeCell ref="G134:J134"/>
    <mergeCell ref="D158:E158"/>
    <mergeCell ref="D159:E159"/>
    <mergeCell ref="D287:H287"/>
    <mergeCell ref="D332:H332"/>
    <mergeCell ref="D25:H25"/>
    <mergeCell ref="D250:H250"/>
    <mergeCell ref="D281:H281"/>
    <mergeCell ref="D293:H293"/>
    <mergeCell ref="D191:H191"/>
    <mergeCell ref="D226:H226"/>
    <mergeCell ref="D227:H227"/>
    <mergeCell ref="D156:H156"/>
    <mergeCell ref="D192:H192"/>
    <mergeCell ref="D193:H193"/>
    <mergeCell ref="D195:F195"/>
    <mergeCell ref="D206:H206"/>
    <mergeCell ref="D212:H212"/>
    <mergeCell ref="D176:H176"/>
    <mergeCell ref="D185:H185"/>
    <mergeCell ref="D57:E57"/>
    <mergeCell ref="G57:I57"/>
    <mergeCell ref="D127:E127"/>
    <mergeCell ref="G127:H127"/>
    <mergeCell ref="D245:E245"/>
    <mergeCell ref="D78:H78"/>
    <mergeCell ref="D84:H84"/>
    <mergeCell ref="C5:D5"/>
    <mergeCell ref="C6:H6"/>
    <mergeCell ref="C11:C13"/>
    <mergeCell ref="C14:J14"/>
    <mergeCell ref="J11:J13"/>
    <mergeCell ref="I11:I13"/>
    <mergeCell ref="C8:D8"/>
    <mergeCell ref="D15:H15"/>
    <mergeCell ref="D165:H165"/>
    <mergeCell ref="D23:H23"/>
    <mergeCell ref="D54:H54"/>
    <mergeCell ref="D11:H13"/>
    <mergeCell ref="D24:H24"/>
    <mergeCell ref="D31:H31"/>
    <mergeCell ref="D16:H16"/>
    <mergeCell ref="D72:E72"/>
    <mergeCell ref="E19:G19"/>
    <mergeCell ref="D90:H90"/>
    <mergeCell ref="D17:H17"/>
    <mergeCell ref="D143:E143"/>
    <mergeCell ref="G143:I143"/>
    <mergeCell ref="D149:E149"/>
    <mergeCell ref="D134:E134"/>
    <mergeCell ref="D347:H347"/>
    <mergeCell ref="D240:H240"/>
    <mergeCell ref="D97:H97"/>
    <mergeCell ref="D98:H98"/>
    <mergeCell ref="D104:H104"/>
    <mergeCell ref="D125:H125"/>
    <mergeCell ref="D140:H140"/>
    <mergeCell ref="D64:E64"/>
    <mergeCell ref="D96:H96"/>
    <mergeCell ref="D45:H45"/>
    <mergeCell ref="D180:H180"/>
    <mergeCell ref="D37:H37"/>
    <mergeCell ref="D110:H110"/>
    <mergeCell ref="D170:H170"/>
    <mergeCell ref="G56:I56"/>
    <mergeCell ref="D142:E142"/>
    <mergeCell ref="D251:H251"/>
    <mergeCell ref="D310:H310"/>
    <mergeCell ref="D340:H340"/>
    <mergeCell ref="C352:D352"/>
    <mergeCell ref="G352:H352"/>
    <mergeCell ref="D354:E354"/>
    <mergeCell ref="G354:H354"/>
    <mergeCell ref="C355:D355"/>
    <mergeCell ref="G355:H355"/>
    <mergeCell ref="D349:E349"/>
    <mergeCell ref="G349:H349"/>
    <mergeCell ref="C350:D350"/>
    <mergeCell ref="G350:H350"/>
    <mergeCell ref="C351:D351"/>
    <mergeCell ref="G351:H351"/>
    <mergeCell ref="C359:D359"/>
    <mergeCell ref="G359:H359"/>
    <mergeCell ref="D360:H360"/>
    <mergeCell ref="C362:D362"/>
    <mergeCell ref="G362:H362"/>
    <mergeCell ref="D364:H364"/>
    <mergeCell ref="C356:D356"/>
    <mergeCell ref="G356:H356"/>
    <mergeCell ref="C357:D357"/>
    <mergeCell ref="G357:H357"/>
    <mergeCell ref="C358:D358"/>
    <mergeCell ref="G358:H358"/>
    <mergeCell ref="C372:D372"/>
    <mergeCell ref="D373:H373"/>
    <mergeCell ref="C375:D375"/>
    <mergeCell ref="C376:D376"/>
    <mergeCell ref="C377:D377"/>
    <mergeCell ref="C378:D378"/>
    <mergeCell ref="D365:H365"/>
    <mergeCell ref="C367:D367"/>
    <mergeCell ref="C368:D368"/>
    <mergeCell ref="G368:H368"/>
    <mergeCell ref="C369:D369"/>
    <mergeCell ref="C370:D370"/>
    <mergeCell ref="D388:H388"/>
    <mergeCell ref="D396:H396"/>
    <mergeCell ref="D402:H402"/>
    <mergeCell ref="D410:H410"/>
    <mergeCell ref="D416:H416"/>
    <mergeCell ref="D417:H417"/>
    <mergeCell ref="D381:H381"/>
    <mergeCell ref="D382:H382"/>
    <mergeCell ref="C384:D384"/>
    <mergeCell ref="G384:H384"/>
    <mergeCell ref="D386:H386"/>
    <mergeCell ref="D387:H387"/>
    <mergeCell ref="D451:H451"/>
    <mergeCell ref="D452:H452"/>
    <mergeCell ref="D457:H457"/>
    <mergeCell ref="D458:H458"/>
    <mergeCell ref="D459:H459"/>
    <mergeCell ref="D461:D462"/>
    <mergeCell ref="D424:H424"/>
    <mergeCell ref="D430:H430"/>
    <mergeCell ref="D437:H437"/>
    <mergeCell ref="D442:H442"/>
    <mergeCell ref="D447:H447"/>
    <mergeCell ref="D449:H449"/>
    <mergeCell ref="D482:H482"/>
    <mergeCell ref="D483:H483"/>
    <mergeCell ref="D485:H485"/>
    <mergeCell ref="D486:H486"/>
    <mergeCell ref="D487:E487"/>
    <mergeCell ref="D488:H488"/>
    <mergeCell ref="D465:H465"/>
    <mergeCell ref="D467:D468"/>
    <mergeCell ref="D471:H471"/>
    <mergeCell ref="D476:H476"/>
    <mergeCell ref="D480:H480"/>
    <mergeCell ref="D481:H481"/>
    <mergeCell ref="D523:H523"/>
    <mergeCell ref="D529:H529"/>
    <mergeCell ref="D530:H530"/>
    <mergeCell ref="D531:H531"/>
    <mergeCell ref="D532:H532"/>
    <mergeCell ref="D536:H536"/>
    <mergeCell ref="D489:H489"/>
    <mergeCell ref="D495:H495"/>
    <mergeCell ref="D496:H496"/>
    <mergeCell ref="D498:F498"/>
    <mergeCell ref="D509:H509"/>
    <mergeCell ref="D515:H515"/>
    <mergeCell ref="D547:H547"/>
    <mergeCell ref="D548:H548"/>
    <mergeCell ref="D549:H549"/>
    <mergeCell ref="D550:H550"/>
    <mergeCell ref="D551:H551"/>
    <mergeCell ref="D552:H552"/>
    <mergeCell ref="D537:E537"/>
    <mergeCell ref="D542:H542"/>
    <mergeCell ref="D543:H543"/>
    <mergeCell ref="D544:H544"/>
    <mergeCell ref="D545:H545"/>
    <mergeCell ref="D546:H546"/>
    <mergeCell ref="D565:H565"/>
    <mergeCell ref="D566:H566"/>
    <mergeCell ref="D572:H572"/>
    <mergeCell ref="D573:H573"/>
    <mergeCell ref="D574:H574"/>
    <mergeCell ref="D575:H575"/>
    <mergeCell ref="D553:H553"/>
    <mergeCell ref="D554:H554"/>
    <mergeCell ref="D561:H561"/>
    <mergeCell ref="D562:H562"/>
    <mergeCell ref="D563:H563"/>
    <mergeCell ref="D564:H564"/>
    <mergeCell ref="D596:H596"/>
    <mergeCell ref="D603:E603"/>
    <mergeCell ref="D605:H605"/>
    <mergeCell ref="D606:H606"/>
    <mergeCell ref="D607:H607"/>
    <mergeCell ref="D608:H608"/>
    <mergeCell ref="D576:H576"/>
    <mergeCell ref="D577:H577"/>
    <mergeCell ref="D579:H579"/>
    <mergeCell ref="D582:H582"/>
    <mergeCell ref="D589:E589"/>
    <mergeCell ref="D592:H592"/>
    <mergeCell ref="D625:H625"/>
    <mergeCell ref="D627:F627"/>
    <mergeCell ref="D630:F630"/>
    <mergeCell ref="D632:H632"/>
    <mergeCell ref="D633:H633"/>
    <mergeCell ref="D634:F634"/>
    <mergeCell ref="D609:H609"/>
    <mergeCell ref="D610:H610"/>
    <mergeCell ref="D612:I612"/>
    <mergeCell ref="D621:E621"/>
    <mergeCell ref="D623:H623"/>
    <mergeCell ref="D624:H624"/>
    <mergeCell ref="D653:E653"/>
    <mergeCell ref="F653:I653"/>
    <mergeCell ref="D655:H655"/>
    <mergeCell ref="D656:H656"/>
    <mergeCell ref="D669:H669"/>
    <mergeCell ref="D670:H670"/>
    <mergeCell ref="D635:H635"/>
    <mergeCell ref="D636:H636"/>
    <mergeCell ref="D638:I638"/>
    <mergeCell ref="D644:E644"/>
    <mergeCell ref="F644:I644"/>
    <mergeCell ref="D647:I647"/>
    <mergeCell ref="D677:H677"/>
    <mergeCell ref="D678:H678"/>
    <mergeCell ref="D679:H679"/>
    <mergeCell ref="D680:H680"/>
    <mergeCell ref="D681:H681"/>
    <mergeCell ref="D682:H682"/>
    <mergeCell ref="D671:H671"/>
    <mergeCell ref="D672:H672"/>
    <mergeCell ref="D673:H673"/>
    <mergeCell ref="D674:H674"/>
    <mergeCell ref="D675:H675"/>
    <mergeCell ref="D676:H676"/>
    <mergeCell ref="D701:H701"/>
    <mergeCell ref="D702:H702"/>
    <mergeCell ref="D703:H703"/>
    <mergeCell ref="D708:H708"/>
    <mergeCell ref="G709:J709"/>
    <mergeCell ref="G710:H710"/>
    <mergeCell ref="D683:H683"/>
    <mergeCell ref="D684:H684"/>
    <mergeCell ref="D685:H685"/>
    <mergeCell ref="D698:H698"/>
    <mergeCell ref="D699:H699"/>
    <mergeCell ref="D700:H700"/>
    <mergeCell ref="G723:H723"/>
    <mergeCell ref="D726:H726"/>
    <mergeCell ref="G727:J727"/>
    <mergeCell ref="G728:H728"/>
    <mergeCell ref="G731:J731"/>
    <mergeCell ref="G732:H732"/>
    <mergeCell ref="D712:H712"/>
    <mergeCell ref="G713:J713"/>
    <mergeCell ref="G714:H714"/>
    <mergeCell ref="G718:J718"/>
    <mergeCell ref="G719:H719"/>
    <mergeCell ref="G722:J722"/>
    <mergeCell ref="D749:H749"/>
    <mergeCell ref="D750:H750"/>
    <mergeCell ref="D751:H751"/>
    <mergeCell ref="D752:H752"/>
    <mergeCell ref="D753:H753"/>
    <mergeCell ref="D754:H754"/>
    <mergeCell ref="D735:H735"/>
    <mergeCell ref="D736:H736"/>
    <mergeCell ref="D745:H745"/>
    <mergeCell ref="D746:H746"/>
    <mergeCell ref="D747:H747"/>
    <mergeCell ref="D748:H748"/>
    <mergeCell ref="D761:H761"/>
    <mergeCell ref="D762:H762"/>
    <mergeCell ref="D763:H763"/>
    <mergeCell ref="D764:H764"/>
    <mergeCell ref="D765:H765"/>
    <mergeCell ref="D766:H766"/>
    <mergeCell ref="D755:H755"/>
    <mergeCell ref="D756:H756"/>
    <mergeCell ref="D757:H757"/>
    <mergeCell ref="D758:H758"/>
    <mergeCell ref="D759:H759"/>
    <mergeCell ref="D760:H760"/>
    <mergeCell ref="D773:H773"/>
    <mergeCell ref="D774:H774"/>
    <mergeCell ref="D775:H775"/>
    <mergeCell ref="D776:H776"/>
    <mergeCell ref="D777:H777"/>
    <mergeCell ref="D778:H778"/>
    <mergeCell ref="D767:H767"/>
    <mergeCell ref="D768:H768"/>
    <mergeCell ref="D769:H769"/>
    <mergeCell ref="D770:H770"/>
    <mergeCell ref="D771:H771"/>
    <mergeCell ref="D772:H772"/>
    <mergeCell ref="D785:H785"/>
    <mergeCell ref="D786:H786"/>
    <mergeCell ref="D787:H787"/>
    <mergeCell ref="D788:H788"/>
    <mergeCell ref="D789:H789"/>
    <mergeCell ref="D790:H790"/>
    <mergeCell ref="D779:H779"/>
    <mergeCell ref="D780:H780"/>
    <mergeCell ref="D781:H781"/>
    <mergeCell ref="D782:H782"/>
    <mergeCell ref="D783:H783"/>
    <mergeCell ref="D784:H784"/>
    <mergeCell ref="D797:H797"/>
    <mergeCell ref="D798:H798"/>
    <mergeCell ref="D799:H799"/>
    <mergeCell ref="D800:H800"/>
    <mergeCell ref="D801:H801"/>
    <mergeCell ref="D802:H802"/>
    <mergeCell ref="D791:H791"/>
    <mergeCell ref="D792:H792"/>
    <mergeCell ref="D793:H793"/>
    <mergeCell ref="D794:H794"/>
    <mergeCell ref="D795:H795"/>
    <mergeCell ref="D796:H796"/>
    <mergeCell ref="D809:H809"/>
    <mergeCell ref="D810:H810"/>
    <mergeCell ref="D811:H811"/>
    <mergeCell ref="D812:H812"/>
    <mergeCell ref="D813:H813"/>
    <mergeCell ref="D814:H814"/>
    <mergeCell ref="D803:H803"/>
    <mergeCell ref="D804:H804"/>
    <mergeCell ref="D805:H805"/>
    <mergeCell ref="D806:H806"/>
    <mergeCell ref="D807:H807"/>
    <mergeCell ref="D808:H808"/>
    <mergeCell ref="D821:H821"/>
    <mergeCell ref="D822:H822"/>
    <mergeCell ref="D823:H823"/>
    <mergeCell ref="D824:H824"/>
    <mergeCell ref="D825:H825"/>
    <mergeCell ref="D826:H826"/>
    <mergeCell ref="D815:H815"/>
    <mergeCell ref="D816:H816"/>
    <mergeCell ref="D817:H817"/>
    <mergeCell ref="D818:H818"/>
    <mergeCell ref="D819:H819"/>
    <mergeCell ref="D820:H820"/>
    <mergeCell ref="D833:H833"/>
    <mergeCell ref="D834:H834"/>
    <mergeCell ref="D835:H835"/>
    <mergeCell ref="D836:H836"/>
    <mergeCell ref="D837:H837"/>
    <mergeCell ref="D838:H838"/>
    <mergeCell ref="D827:H827"/>
    <mergeCell ref="D828:H828"/>
    <mergeCell ref="D829:H829"/>
    <mergeCell ref="D830:H830"/>
    <mergeCell ref="D831:H831"/>
    <mergeCell ref="D832:H832"/>
    <mergeCell ref="D845:H845"/>
    <mergeCell ref="D846:H846"/>
    <mergeCell ref="D847:H847"/>
    <mergeCell ref="D848:H848"/>
    <mergeCell ref="D849:H849"/>
    <mergeCell ref="D850:H850"/>
    <mergeCell ref="D839:H839"/>
    <mergeCell ref="D840:H840"/>
    <mergeCell ref="D841:H841"/>
    <mergeCell ref="D842:H842"/>
    <mergeCell ref="D843:H843"/>
    <mergeCell ref="D844:H844"/>
    <mergeCell ref="D857:H857"/>
    <mergeCell ref="D859:H859"/>
    <mergeCell ref="D860:H860"/>
    <mergeCell ref="D861:H861"/>
    <mergeCell ref="D851:H851"/>
    <mergeCell ref="D852:H852"/>
    <mergeCell ref="D853:H853"/>
    <mergeCell ref="D854:H854"/>
    <mergeCell ref="D855:H855"/>
    <mergeCell ref="D856:H856"/>
  </mergeCells>
  <printOptions horizontalCentered="1"/>
  <pageMargins left="0.19685039370078741" right="0.15748031496062992" top="0.19685039370078741" bottom="7.874015748031496E-2" header="0.51181102362204722" footer="0"/>
  <pageSetup paperSize="9" scale="65" orientation="portrait" horizontalDpi="300" verticalDpi="300" r:id="rId1"/>
  <headerFooter alignWithMargins="0">
    <oddFooter>Página &amp;P de &amp;N</oddFooter>
  </headerFooter>
  <rowBreaks count="5" manualBreakCount="5">
    <brk id="53" min="2" max="9" man="1"/>
    <brk id="103" min="2" max="9" man="1"/>
    <brk id="155" min="2" max="9" man="1"/>
    <brk id="191" min="2" max="9" man="1"/>
    <brk id="309" min="2" max="9" man="1"/>
  </rowBreaks>
</worksheet>
</file>

<file path=xl/worksheets/sheet3.xml><?xml version="1.0" encoding="utf-8"?>
<worksheet xmlns="http://schemas.openxmlformats.org/spreadsheetml/2006/main" xmlns:r="http://schemas.openxmlformats.org/officeDocument/2006/relationships">
  <sheetPr codeName="Plan12"/>
  <dimension ref="B2:T43"/>
  <sheetViews>
    <sheetView showGridLines="0" view="pageBreakPreview" topLeftCell="A4" zoomScale="85" zoomScaleSheetLayoutView="85" workbookViewId="0">
      <selection activeCell="P14" sqref="P14"/>
    </sheetView>
  </sheetViews>
  <sheetFormatPr defaultRowHeight="12.75"/>
  <cols>
    <col min="1" max="1" width="5.42578125" style="56" customWidth="1"/>
    <col min="2" max="2" width="1.5703125" style="56" customWidth="1"/>
    <col min="3" max="3" width="7.85546875" style="56" customWidth="1"/>
    <col min="4" max="6" width="9.140625" style="56"/>
    <col min="7" max="7" width="14.42578125" style="56" customWidth="1"/>
    <col min="8" max="8" width="11.140625" style="56" customWidth="1"/>
    <col min="9" max="9" width="13.140625" style="64" customWidth="1"/>
    <col min="10" max="10" width="18.42578125" style="56" customWidth="1"/>
    <col min="11" max="11" width="11" style="56" customWidth="1"/>
    <col min="12" max="12" width="23.85546875" style="56" customWidth="1"/>
    <col min="13" max="13" width="18.28515625" style="56" customWidth="1"/>
    <col min="14" max="14" width="2.28515625" style="56" customWidth="1"/>
    <col min="15" max="15" width="15.85546875" style="81" customWidth="1"/>
    <col min="16" max="16" width="22.42578125" style="81" customWidth="1"/>
    <col min="17" max="17" width="6.140625" style="82" customWidth="1"/>
    <col min="18" max="18" width="11.5703125" style="81" bestFit="1" customWidth="1"/>
    <col min="19" max="19" width="14.28515625" style="81" bestFit="1" customWidth="1"/>
    <col min="20" max="20" width="11.5703125" style="81" bestFit="1" customWidth="1"/>
    <col min="21" max="16384" width="9.140625" style="56"/>
  </cols>
  <sheetData>
    <row r="2" spans="2:20" ht="1.5" customHeight="1">
      <c r="B2" s="152"/>
      <c r="C2" s="152"/>
      <c r="D2" s="152"/>
      <c r="E2" s="152"/>
      <c r="F2" s="152"/>
      <c r="G2" s="152"/>
      <c r="H2" s="152"/>
      <c r="I2" s="55"/>
      <c r="J2" s="152"/>
      <c r="K2" s="152"/>
      <c r="L2" s="152"/>
      <c r="M2" s="152"/>
      <c r="N2" s="153"/>
    </row>
    <row r="3" spans="2:20" s="57" customFormat="1" ht="1.5" customHeight="1">
      <c r="B3" s="154"/>
      <c r="C3" s="155"/>
      <c r="D3" s="156"/>
      <c r="E3" s="157" t="s">
        <v>31</v>
      </c>
      <c r="F3" s="156"/>
      <c r="G3" s="156"/>
      <c r="H3" s="155"/>
      <c r="I3" s="155"/>
      <c r="J3" s="155"/>
      <c r="K3" s="155"/>
      <c r="L3" s="155"/>
      <c r="M3" s="155"/>
      <c r="N3" s="158"/>
      <c r="Q3" s="78"/>
    </row>
    <row r="4" spans="2:20" s="57" customFormat="1" ht="6" customHeight="1">
      <c r="B4" s="154"/>
      <c r="C4" s="155"/>
      <c r="D4" s="156"/>
      <c r="E4" s="156"/>
      <c r="F4" s="156"/>
      <c r="G4" s="156"/>
      <c r="H4" s="155"/>
      <c r="I4" s="155"/>
      <c r="J4" s="155"/>
      <c r="K4" s="155"/>
      <c r="L4" s="155"/>
      <c r="M4" s="155"/>
      <c r="N4" s="158"/>
      <c r="Q4" s="78"/>
    </row>
    <row r="5" spans="2:20" s="57" customFormat="1" ht="6" customHeight="1">
      <c r="B5" s="154"/>
      <c r="C5" s="618"/>
      <c r="D5" s="618"/>
      <c r="E5" s="618"/>
      <c r="F5" s="618"/>
      <c r="G5" s="618"/>
      <c r="H5" s="618"/>
      <c r="I5" s="618"/>
      <c r="J5" s="618"/>
      <c r="K5" s="618"/>
      <c r="L5" s="618"/>
      <c r="M5" s="618"/>
      <c r="N5" s="158"/>
      <c r="Q5" s="78"/>
    </row>
    <row r="6" spans="2:20" s="57" customFormat="1" ht="6" customHeight="1">
      <c r="B6" s="154"/>
      <c r="C6" s="155"/>
      <c r="D6" s="156"/>
      <c r="E6" s="156"/>
      <c r="F6" s="156"/>
      <c r="G6" s="156"/>
      <c r="H6" s="159"/>
      <c r="I6" s="159"/>
      <c r="J6" s="159"/>
      <c r="K6" s="160"/>
      <c r="L6" s="160"/>
      <c r="M6" s="160"/>
      <c r="N6" s="158"/>
      <c r="Q6" s="78"/>
    </row>
    <row r="7" spans="2:20" s="57" customFormat="1" ht="15" customHeight="1">
      <c r="B7" s="154"/>
      <c r="C7" s="160"/>
      <c r="D7" s="58"/>
      <c r="E7" s="58"/>
      <c r="F7" s="58"/>
      <c r="G7" s="58"/>
      <c r="H7" s="161"/>
      <c r="I7" s="160"/>
      <c r="J7" s="161"/>
      <c r="K7" s="160"/>
      <c r="L7" s="160"/>
      <c r="M7" s="160"/>
      <c r="N7" s="158"/>
      <c r="Q7" s="78"/>
    </row>
    <row r="8" spans="2:20" s="57" customFormat="1" ht="15" customHeight="1">
      <c r="B8" s="154"/>
      <c r="C8" s="149" t="s">
        <v>58</v>
      </c>
      <c r="D8" s="156"/>
      <c r="E8" s="156"/>
      <c r="F8" s="156"/>
      <c r="G8" s="150" t="str">
        <f>Orçamento!D8</f>
        <v>PREFEITURA MUNICIPAL DE POUSO ALEGRE</v>
      </c>
      <c r="H8" s="161"/>
      <c r="I8" s="161"/>
      <c r="J8" s="162"/>
      <c r="K8" s="160"/>
      <c r="L8" s="160"/>
      <c r="M8" s="160"/>
      <c r="N8" s="158"/>
      <c r="Q8" s="78"/>
    </row>
    <row r="9" spans="2:20" s="57" customFormat="1" ht="15" customHeight="1">
      <c r="B9" s="154"/>
      <c r="C9" s="59"/>
      <c r="D9" s="163"/>
      <c r="E9" s="163"/>
      <c r="F9" s="163"/>
      <c r="G9" s="164"/>
      <c r="H9" s="160"/>
      <c r="I9" s="160"/>
      <c r="J9" s="160"/>
      <c r="K9" s="160"/>
      <c r="L9" s="160"/>
      <c r="M9" s="160"/>
      <c r="N9" s="158"/>
      <c r="Q9" s="78"/>
    </row>
    <row r="10" spans="2:20" s="57" customFormat="1" ht="15" customHeight="1">
      <c r="B10" s="154"/>
      <c r="C10" s="59"/>
      <c r="D10" s="165"/>
      <c r="E10" s="165"/>
      <c r="F10" s="165"/>
      <c r="G10" s="165"/>
      <c r="H10" s="60"/>
      <c r="I10" s="161"/>
      <c r="J10" s="60"/>
      <c r="K10" s="160"/>
      <c r="L10" s="160"/>
      <c r="M10" s="160"/>
      <c r="N10" s="158"/>
      <c r="Q10" s="78"/>
    </row>
    <row r="11" spans="2:20" ht="15.75">
      <c r="B11" s="152"/>
      <c r="C11" s="619" t="s">
        <v>32</v>
      </c>
      <c r="D11" s="619"/>
      <c r="E11" s="619"/>
      <c r="F11" s="619"/>
      <c r="G11" s="619"/>
      <c r="H11" s="620"/>
      <c r="I11" s="620"/>
      <c r="J11" s="619"/>
      <c r="K11" s="619"/>
      <c r="L11" s="619"/>
      <c r="M11" s="619"/>
      <c r="N11" s="153"/>
    </row>
    <row r="12" spans="2:20" s="63" customFormat="1" ht="39" customHeight="1">
      <c r="B12" s="166"/>
      <c r="C12" s="61" t="s">
        <v>33</v>
      </c>
      <c r="D12" s="621" t="s">
        <v>34</v>
      </c>
      <c r="E12" s="621"/>
      <c r="F12" s="621"/>
      <c r="G12" s="621"/>
      <c r="H12" s="622" t="s">
        <v>35</v>
      </c>
      <c r="I12" s="623"/>
      <c r="J12" s="147" t="s">
        <v>36</v>
      </c>
      <c r="K12" s="61" t="s">
        <v>37</v>
      </c>
      <c r="L12" s="62" t="s">
        <v>38</v>
      </c>
      <c r="M12" s="61" t="s">
        <v>39</v>
      </c>
      <c r="N12" s="167"/>
      <c r="O12" s="83"/>
      <c r="P12" s="83"/>
      <c r="Q12" s="84"/>
      <c r="R12" s="83"/>
      <c r="S12" s="83"/>
      <c r="T12" s="83"/>
    </row>
    <row r="13" spans="2:20" s="167" customFormat="1" ht="20.25" customHeight="1">
      <c r="B13" s="166"/>
      <c r="C13" s="72">
        <v>1</v>
      </c>
      <c r="D13" s="608" t="str">
        <f>VLOOKUP(C13,Orçamento!D:P,4,0)</f>
        <v>SERVIÇOS PRELIMINARES</v>
      </c>
      <c r="E13" s="608"/>
      <c r="F13" s="608"/>
      <c r="G13" s="608"/>
      <c r="H13" s="609" t="s">
        <v>54</v>
      </c>
      <c r="I13" s="610"/>
      <c r="J13" s="208">
        <f t="shared" ref="J13:J32" si="0">M13-L13</f>
        <v>0</v>
      </c>
      <c r="K13" s="210" t="e">
        <f t="shared" ref="K13:K19" si="1">J13/$J$33</f>
        <v>#N/A</v>
      </c>
      <c r="L13" s="209"/>
      <c r="M13" s="209">
        <f>VLOOKUP(C13,Orçamento!D:P,12,0)</f>
        <v>0</v>
      </c>
      <c r="N13" s="215"/>
      <c r="O13" s="211"/>
      <c r="P13" s="212"/>
      <c r="Q13" s="213"/>
      <c r="R13" s="211"/>
      <c r="S13" s="211"/>
      <c r="T13" s="211"/>
    </row>
    <row r="14" spans="2:20" s="167" customFormat="1" ht="20.25" customHeight="1">
      <c r="B14" s="166"/>
      <c r="C14" s="72">
        <v>2</v>
      </c>
      <c r="D14" s="608" t="str">
        <f>VLOOKUP(C14,Orçamento!D:P,4,0)</f>
        <v>FUNDAÇÃO</v>
      </c>
      <c r="E14" s="608"/>
      <c r="F14" s="608"/>
      <c r="G14" s="608"/>
      <c r="H14" s="609" t="s">
        <v>54</v>
      </c>
      <c r="I14" s="610"/>
      <c r="J14" s="208">
        <f t="shared" si="0"/>
        <v>0</v>
      </c>
      <c r="K14" s="210" t="e">
        <f t="shared" si="1"/>
        <v>#N/A</v>
      </c>
      <c r="L14" s="209"/>
      <c r="M14" s="209">
        <f>VLOOKUP(C14,Orçamento!D:P,12,0)</f>
        <v>0</v>
      </c>
      <c r="N14" s="215"/>
      <c r="O14" s="211"/>
      <c r="P14" s="212"/>
      <c r="Q14" s="213"/>
      <c r="R14" s="211"/>
      <c r="S14" s="211"/>
      <c r="T14" s="211"/>
    </row>
    <row r="15" spans="2:20" s="167" customFormat="1" ht="20.25" customHeight="1">
      <c r="B15" s="166"/>
      <c r="C15" s="72">
        <v>3</v>
      </c>
      <c r="D15" s="608" t="str">
        <f>VLOOKUP(C15,Orçamento!D:P,4,0)</f>
        <v>MURO DE CONTENÇÃO</v>
      </c>
      <c r="E15" s="608"/>
      <c r="F15" s="608"/>
      <c r="G15" s="608"/>
      <c r="H15" s="609" t="s">
        <v>54</v>
      </c>
      <c r="I15" s="610"/>
      <c r="J15" s="208">
        <f t="shared" si="0"/>
        <v>-87220.63</v>
      </c>
      <c r="K15" s="210" t="e">
        <f t="shared" si="1"/>
        <v>#N/A</v>
      </c>
      <c r="L15" s="209">
        <v>87220.63</v>
      </c>
      <c r="M15" s="209">
        <f>VLOOKUP(C15,Orçamento!D:P,12,0)</f>
        <v>0</v>
      </c>
      <c r="N15" s="215"/>
      <c r="O15" s="211"/>
      <c r="P15" s="212"/>
      <c r="Q15" s="213"/>
      <c r="R15" s="211"/>
      <c r="S15" s="211"/>
      <c r="T15" s="211"/>
    </row>
    <row r="16" spans="2:20" s="167" customFormat="1" ht="20.25" customHeight="1">
      <c r="B16" s="166"/>
      <c r="C16" s="72">
        <v>4</v>
      </c>
      <c r="D16" s="608" t="str">
        <f>VLOOKUP(C16,Orçamento!D:P,4,0)</f>
        <v>GALPÃO E COBERTURA</v>
      </c>
      <c r="E16" s="608"/>
      <c r="F16" s="608"/>
      <c r="G16" s="608"/>
      <c r="H16" s="609"/>
      <c r="I16" s="610"/>
      <c r="J16" s="208"/>
      <c r="K16" s="210"/>
      <c r="L16" s="209"/>
      <c r="M16" s="209"/>
      <c r="N16" s="215"/>
      <c r="O16" s="211"/>
      <c r="P16" s="212"/>
      <c r="Q16" s="213"/>
      <c r="R16" s="211"/>
      <c r="S16" s="211"/>
      <c r="T16" s="211"/>
    </row>
    <row r="17" spans="2:20" ht="20.25" customHeight="1">
      <c r="B17" s="152"/>
      <c r="C17" s="206" t="s">
        <v>82</v>
      </c>
      <c r="D17" s="617" t="str">
        <f>VLOOKUP(C17,Orçamento!D:P,4,0)</f>
        <v xml:space="preserve">Estrutura metalica em aço estrutural Perfis W A-572 – Grau 50 </v>
      </c>
      <c r="E17" s="617"/>
      <c r="F17" s="617"/>
      <c r="G17" s="617"/>
      <c r="H17" s="609" t="s">
        <v>54</v>
      </c>
      <c r="I17" s="610"/>
      <c r="J17" s="207">
        <f t="shared" si="0"/>
        <v>-217357.89</v>
      </c>
      <c r="K17" s="168" t="e">
        <f t="shared" si="1"/>
        <v>#N/A</v>
      </c>
      <c r="L17" s="73">
        <v>217357.89</v>
      </c>
      <c r="M17" s="73">
        <f>VLOOKUP(C17,Orçamento!D:P,12,0)</f>
        <v>0</v>
      </c>
      <c r="N17" s="169"/>
      <c r="P17" s="85"/>
    </row>
    <row r="18" spans="2:20" ht="20.25" customHeight="1">
      <c r="B18" s="152"/>
      <c r="C18" s="206" t="s">
        <v>93</v>
      </c>
      <c r="D18" s="617" t="str">
        <f>VLOOKUP(C18,Orçamento!D:P,4,0)</f>
        <v>Estrutura metalica em tesouras ou trelicas, vao livre de 25m, fornecimento e montagem, não sendo considerada as colunas, os fechamentos metalicos, os serviços gerais em alvenaria e concreto, as telhas de cobertura e a pintura de acabamento</v>
      </c>
      <c r="E18" s="617"/>
      <c r="F18" s="617"/>
      <c r="G18" s="617"/>
      <c r="H18" s="609" t="s">
        <v>54</v>
      </c>
      <c r="I18" s="610"/>
      <c r="J18" s="207">
        <f t="shared" si="0"/>
        <v>0</v>
      </c>
      <c r="K18" s="168" t="e">
        <f t="shared" si="1"/>
        <v>#N/A</v>
      </c>
      <c r="L18" s="73"/>
      <c r="M18" s="73">
        <f>VLOOKUP(C18,Orçamento!D:P,12,0)</f>
        <v>0</v>
      </c>
      <c r="N18" s="169"/>
      <c r="P18" s="85"/>
    </row>
    <row r="19" spans="2:20" s="76" customFormat="1" ht="20.25" customHeight="1">
      <c r="B19" s="74"/>
      <c r="C19" s="206" t="s">
        <v>94</v>
      </c>
      <c r="D19" s="617" t="str">
        <f>VLOOKUP(C19,Orçamento!D:P,4,0)</f>
        <v>Pintura a oleo brilhante sobre superfície metálica, uma demão, incluso uma demão de fundo anticorrosivo</v>
      </c>
      <c r="E19" s="617"/>
      <c r="F19" s="617"/>
      <c r="G19" s="617"/>
      <c r="H19" s="609" t="s">
        <v>54</v>
      </c>
      <c r="I19" s="610"/>
      <c r="J19" s="207">
        <f t="shared" si="0"/>
        <v>-37577.11</v>
      </c>
      <c r="K19" s="168" t="e">
        <f t="shared" si="1"/>
        <v>#N/A</v>
      </c>
      <c r="L19" s="73">
        <v>37577.11</v>
      </c>
      <c r="M19" s="73">
        <f>VLOOKUP(C19,Orçamento!D:P,12,0)</f>
        <v>0</v>
      </c>
      <c r="N19" s="75"/>
      <c r="O19" s="81"/>
      <c r="P19" s="85"/>
      <c r="Q19" s="86"/>
      <c r="R19" s="87"/>
      <c r="S19" s="87"/>
      <c r="T19" s="87"/>
    </row>
    <row r="20" spans="2:20" ht="20.25" customHeight="1">
      <c r="B20" s="152"/>
      <c r="C20" s="206" t="s">
        <v>95</v>
      </c>
      <c r="D20" s="617" t="str">
        <f>VLOOKUP(C20,Orçamento!D:P,4,0)</f>
        <v>Cobertura com telha chapa aço zincado, ondulada, esp-0,5mm</v>
      </c>
      <c r="E20" s="617"/>
      <c r="F20" s="617"/>
      <c r="G20" s="617"/>
      <c r="H20" s="609" t="s">
        <v>54</v>
      </c>
      <c r="I20" s="610"/>
      <c r="J20" s="207">
        <f t="shared" si="0"/>
        <v>-157000</v>
      </c>
      <c r="K20" s="168" t="e">
        <f>J20/M33</f>
        <v>#N/A</v>
      </c>
      <c r="L20" s="73">
        <v>157000</v>
      </c>
      <c r="M20" s="73">
        <f>VLOOKUP(C20,Orçamento!D:P,12,0)</f>
        <v>0</v>
      </c>
      <c r="N20" s="169"/>
      <c r="P20" s="88"/>
    </row>
    <row r="21" spans="2:20" ht="20.25" customHeight="1">
      <c r="B21" s="152"/>
      <c r="C21" s="206" t="s">
        <v>96</v>
      </c>
      <c r="D21" s="617" t="str">
        <f>VLOOKUP(C21,Orçamento!D:P,4,0)</f>
        <v>Cumeeira de alumínio, perfil ondulado</v>
      </c>
      <c r="E21" s="617"/>
      <c r="F21" s="617"/>
      <c r="G21" s="617"/>
      <c r="H21" s="609" t="s">
        <v>54</v>
      </c>
      <c r="I21" s="610"/>
      <c r="J21" s="207">
        <f t="shared" si="0"/>
        <v>-58050.42</v>
      </c>
      <c r="K21" s="168" t="e">
        <f t="shared" ref="K21:K26" si="2">J21/$J$33</f>
        <v>#N/A</v>
      </c>
      <c r="L21" s="73">
        <v>58050.42</v>
      </c>
      <c r="M21" s="73">
        <f>VLOOKUP(C21,Orçamento!D:P,12,0)</f>
        <v>0</v>
      </c>
      <c r="N21" s="169"/>
      <c r="P21" s="85"/>
      <c r="Q21" s="86"/>
    </row>
    <row r="22" spans="2:20" ht="20.25" customHeight="1">
      <c r="B22" s="152"/>
      <c r="C22" s="206" t="s">
        <v>97</v>
      </c>
      <c r="D22" s="617" t="str">
        <f>VLOOKUP(C22,Orçamento!D:P,4,0)</f>
        <v>Calha chapa galvanizada num 24 l = 50cm</v>
      </c>
      <c r="E22" s="617"/>
      <c r="F22" s="617"/>
      <c r="G22" s="617"/>
      <c r="H22" s="609" t="s">
        <v>54</v>
      </c>
      <c r="I22" s="610"/>
      <c r="J22" s="207">
        <f t="shared" si="0"/>
        <v>-88362.15</v>
      </c>
      <c r="K22" s="168" t="e">
        <f t="shared" si="2"/>
        <v>#N/A</v>
      </c>
      <c r="L22" s="73">
        <v>88362.15</v>
      </c>
      <c r="M22" s="73">
        <f>VLOOKUP(C22,Orçamento!D:P,12,0)</f>
        <v>0</v>
      </c>
      <c r="N22" s="169"/>
      <c r="P22" s="85"/>
      <c r="Q22" s="89"/>
    </row>
    <row r="23" spans="2:20" ht="20.25" customHeight="1">
      <c r="B23" s="152"/>
      <c r="C23" s="206" t="s">
        <v>98</v>
      </c>
      <c r="D23" s="617" t="str">
        <f>VLOOKUP(C23,Orçamento!D:P,4,0)</f>
        <v>Tubo pvc branco rosqueável Ø 4"</v>
      </c>
      <c r="E23" s="617"/>
      <c r="F23" s="617"/>
      <c r="G23" s="617"/>
      <c r="H23" s="609" t="s">
        <v>54</v>
      </c>
      <c r="I23" s="610"/>
      <c r="J23" s="207">
        <f t="shared" si="0"/>
        <v>-45436.42</v>
      </c>
      <c r="K23" s="168" t="e">
        <f t="shared" si="2"/>
        <v>#N/A</v>
      </c>
      <c r="L23" s="73">
        <v>45436.42</v>
      </c>
      <c r="M23" s="73">
        <f>VLOOKUP(C23,Orçamento!D:P,12,0)</f>
        <v>0</v>
      </c>
      <c r="N23" s="77"/>
      <c r="O23" s="91"/>
      <c r="P23" s="85"/>
    </row>
    <row r="24" spans="2:20" s="167" customFormat="1" ht="20.25" customHeight="1">
      <c r="B24" s="166"/>
      <c r="C24" s="72">
        <v>5</v>
      </c>
      <c r="D24" s="608" t="str">
        <f>VLOOKUP(C24,Orçamento!D:P,4,0)</f>
        <v>RAMPAS DE ACESSO</v>
      </c>
      <c r="E24" s="608"/>
      <c r="F24" s="608"/>
      <c r="G24" s="608"/>
      <c r="H24" s="609" t="s">
        <v>54</v>
      </c>
      <c r="I24" s="610"/>
      <c r="J24" s="208">
        <f t="shared" si="0"/>
        <v>0</v>
      </c>
      <c r="K24" s="210" t="e">
        <f t="shared" si="2"/>
        <v>#N/A</v>
      </c>
      <c r="L24" s="209"/>
      <c r="M24" s="209">
        <f>VLOOKUP(C24,Orçamento!D:P,12,0)</f>
        <v>0</v>
      </c>
      <c r="N24" s="77"/>
      <c r="O24" s="211"/>
      <c r="P24" s="212"/>
      <c r="Q24" s="213"/>
      <c r="R24" s="211"/>
      <c r="S24" s="211"/>
      <c r="T24" s="214"/>
    </row>
    <row r="25" spans="2:20" s="167" customFormat="1" ht="20.25" customHeight="1">
      <c r="B25" s="166"/>
      <c r="C25" s="72">
        <v>6</v>
      </c>
      <c r="D25" s="608" t="e">
        <f>VLOOKUP(C25,Orçamento!D:P,4,0)</f>
        <v>#N/A</v>
      </c>
      <c r="E25" s="608"/>
      <c r="F25" s="608"/>
      <c r="G25" s="608"/>
      <c r="H25" s="609" t="s">
        <v>54</v>
      </c>
      <c r="I25" s="610"/>
      <c r="J25" s="208" t="e">
        <f t="shared" si="0"/>
        <v>#N/A</v>
      </c>
      <c r="K25" s="210" t="e">
        <f t="shared" si="2"/>
        <v>#N/A</v>
      </c>
      <c r="L25" s="209"/>
      <c r="M25" s="209" t="e">
        <f>VLOOKUP(C25,Orçamento!D:P,12,0)</f>
        <v>#N/A</v>
      </c>
      <c r="N25" s="77"/>
      <c r="O25" s="211"/>
      <c r="P25" s="212"/>
      <c r="Q25" s="213"/>
      <c r="R25" s="211"/>
      <c r="S25" s="211"/>
      <c r="T25" s="214"/>
    </row>
    <row r="26" spans="2:20" s="167" customFormat="1" ht="20.25" customHeight="1">
      <c r="B26" s="166"/>
      <c r="C26" s="72">
        <v>7</v>
      </c>
      <c r="D26" s="608" t="e">
        <f>VLOOKUP(C26,Orçamento!D:P,4,0)</f>
        <v>#N/A</v>
      </c>
      <c r="E26" s="608"/>
      <c r="F26" s="608"/>
      <c r="G26" s="608"/>
      <c r="H26" s="609" t="s">
        <v>54</v>
      </c>
      <c r="I26" s="610"/>
      <c r="J26" s="208" t="e">
        <f t="shared" si="0"/>
        <v>#N/A</v>
      </c>
      <c r="K26" s="210" t="e">
        <f t="shared" si="2"/>
        <v>#N/A</v>
      </c>
      <c r="L26" s="209">
        <v>20461.990000000002</v>
      </c>
      <c r="M26" s="209" t="e">
        <f>VLOOKUP(C26,Orçamento!D:P,12,0)</f>
        <v>#N/A</v>
      </c>
      <c r="N26" s="77"/>
      <c r="O26" s="211"/>
      <c r="P26" s="212"/>
      <c r="Q26" s="213"/>
      <c r="R26" s="211"/>
      <c r="S26" s="211"/>
      <c r="T26" s="214"/>
    </row>
    <row r="27" spans="2:20" s="167" customFormat="1" ht="20.25" customHeight="1">
      <c r="B27" s="166"/>
      <c r="C27" s="72">
        <v>8</v>
      </c>
      <c r="D27" s="608" t="e">
        <f>VLOOKUP(C27,Orçamento!D:P,4,0)</f>
        <v>#N/A</v>
      </c>
      <c r="E27" s="608"/>
      <c r="F27" s="608"/>
      <c r="G27" s="608"/>
      <c r="H27" s="609" t="s">
        <v>54</v>
      </c>
      <c r="I27" s="610"/>
      <c r="J27" s="208" t="e">
        <f t="shared" si="0"/>
        <v>#N/A</v>
      </c>
      <c r="K27" s="210" t="e">
        <f t="shared" ref="K27:K32" si="3">J27/$J$33</f>
        <v>#N/A</v>
      </c>
      <c r="L27" s="209"/>
      <c r="M27" s="209" t="e">
        <f>VLOOKUP(C27,Orçamento!D:P,12,0)</f>
        <v>#N/A</v>
      </c>
      <c r="N27" s="77"/>
      <c r="O27" s="211"/>
      <c r="P27" s="212"/>
      <c r="Q27" s="213"/>
      <c r="R27" s="211"/>
      <c r="S27" s="211"/>
      <c r="T27" s="214"/>
    </row>
    <row r="28" spans="2:20" s="167" customFormat="1" ht="20.25" customHeight="1">
      <c r="B28" s="166"/>
      <c r="C28" s="72">
        <v>9</v>
      </c>
      <c r="D28" s="608" t="e">
        <f>VLOOKUP(C28,Orçamento!D:P,4,0)</f>
        <v>#N/A</v>
      </c>
      <c r="E28" s="608"/>
      <c r="F28" s="608"/>
      <c r="G28" s="608"/>
      <c r="H28" s="609" t="s">
        <v>54</v>
      </c>
      <c r="I28" s="610"/>
      <c r="J28" s="208" t="e">
        <f t="shared" si="0"/>
        <v>#N/A</v>
      </c>
      <c r="K28" s="210" t="e">
        <f t="shared" si="3"/>
        <v>#N/A</v>
      </c>
      <c r="L28" s="209"/>
      <c r="M28" s="209" t="e">
        <f>VLOOKUP(C28,Orçamento!D:P,12,0)</f>
        <v>#N/A</v>
      </c>
      <c r="N28" s="77"/>
      <c r="O28" s="211"/>
      <c r="P28" s="212"/>
      <c r="Q28" s="213"/>
      <c r="R28" s="211"/>
      <c r="S28" s="211"/>
      <c r="T28" s="214"/>
    </row>
    <row r="29" spans="2:20" s="167" customFormat="1" ht="20.25" customHeight="1">
      <c r="B29" s="166"/>
      <c r="C29" s="72">
        <v>10</v>
      </c>
      <c r="D29" s="608" t="e">
        <f>VLOOKUP(C29,Orçamento!D:P,4,0)</f>
        <v>#N/A</v>
      </c>
      <c r="E29" s="608"/>
      <c r="F29" s="608"/>
      <c r="G29" s="608"/>
      <c r="H29" s="609" t="s">
        <v>54</v>
      </c>
      <c r="I29" s="610"/>
      <c r="J29" s="208" t="e">
        <f t="shared" si="0"/>
        <v>#N/A</v>
      </c>
      <c r="K29" s="210" t="e">
        <f t="shared" si="3"/>
        <v>#N/A</v>
      </c>
      <c r="L29" s="209"/>
      <c r="M29" s="209" t="e">
        <f>VLOOKUP(C29,Orçamento!D:P,12,0)</f>
        <v>#N/A</v>
      </c>
      <c r="N29" s="77"/>
      <c r="O29" s="211"/>
      <c r="P29" s="212"/>
      <c r="Q29" s="213"/>
      <c r="R29" s="211"/>
      <c r="S29" s="211"/>
      <c r="T29" s="214"/>
    </row>
    <row r="30" spans="2:20" s="167" customFormat="1" ht="20.25" customHeight="1">
      <c r="B30" s="166"/>
      <c r="C30" s="72">
        <v>11</v>
      </c>
      <c r="D30" s="608" t="e">
        <f>VLOOKUP(C30,Orçamento!D:P,4,0)</f>
        <v>#N/A</v>
      </c>
      <c r="E30" s="608"/>
      <c r="F30" s="608"/>
      <c r="G30" s="608"/>
      <c r="H30" s="609" t="s">
        <v>54</v>
      </c>
      <c r="I30" s="610"/>
      <c r="J30" s="208" t="e">
        <f t="shared" si="0"/>
        <v>#N/A</v>
      </c>
      <c r="K30" s="210" t="e">
        <f t="shared" si="3"/>
        <v>#N/A</v>
      </c>
      <c r="L30" s="209"/>
      <c r="M30" s="209" t="e">
        <f>VLOOKUP(C30,Orçamento!D:P,12,0)</f>
        <v>#N/A</v>
      </c>
      <c r="N30" s="77"/>
      <c r="O30" s="211"/>
      <c r="P30" s="212"/>
      <c r="Q30" s="213"/>
      <c r="R30" s="211"/>
      <c r="S30" s="211"/>
      <c r="T30" s="214"/>
    </row>
    <row r="31" spans="2:20" s="167" customFormat="1" ht="20.25" customHeight="1">
      <c r="B31" s="166"/>
      <c r="C31" s="72">
        <v>12</v>
      </c>
      <c r="D31" s="608" t="e">
        <f>VLOOKUP(C31,Orçamento!D:P,4,0)</f>
        <v>#N/A</v>
      </c>
      <c r="E31" s="608"/>
      <c r="F31" s="608"/>
      <c r="G31" s="608"/>
      <c r="H31" s="609" t="s">
        <v>54</v>
      </c>
      <c r="I31" s="610"/>
      <c r="J31" s="208" t="e">
        <f t="shared" si="0"/>
        <v>#N/A</v>
      </c>
      <c r="K31" s="210" t="e">
        <f t="shared" si="3"/>
        <v>#N/A</v>
      </c>
      <c r="L31" s="209"/>
      <c r="M31" s="209" t="e">
        <f>VLOOKUP(C31,Orçamento!D:P,12,0)</f>
        <v>#N/A</v>
      </c>
      <c r="N31" s="77"/>
      <c r="O31" s="211"/>
      <c r="P31" s="212"/>
      <c r="Q31" s="213"/>
      <c r="R31" s="211"/>
      <c r="S31" s="211"/>
      <c r="T31" s="214"/>
    </row>
    <row r="32" spans="2:20" s="167" customFormat="1" ht="20.25" customHeight="1">
      <c r="B32" s="166"/>
      <c r="C32" s="72">
        <v>13</v>
      </c>
      <c r="D32" s="608" t="e">
        <f>VLOOKUP(C32,Orçamento!D:P,4,0)</f>
        <v>#N/A</v>
      </c>
      <c r="E32" s="608"/>
      <c r="F32" s="608"/>
      <c r="G32" s="608"/>
      <c r="H32" s="609" t="s">
        <v>54</v>
      </c>
      <c r="I32" s="610"/>
      <c r="J32" s="208" t="e">
        <f t="shared" si="0"/>
        <v>#N/A</v>
      </c>
      <c r="K32" s="210" t="e">
        <f t="shared" si="3"/>
        <v>#N/A</v>
      </c>
      <c r="L32" s="209"/>
      <c r="M32" s="209" t="e">
        <f>VLOOKUP(C32,Orçamento!D:P,12,0)</f>
        <v>#N/A</v>
      </c>
      <c r="N32" s="77"/>
      <c r="O32" s="211"/>
      <c r="P32" s="212"/>
      <c r="Q32" s="213"/>
      <c r="R32" s="211"/>
      <c r="S32" s="211"/>
      <c r="T32" s="214"/>
    </row>
    <row r="33" spans="2:20" ht="15.75">
      <c r="B33" s="152"/>
      <c r="C33" s="612" t="s">
        <v>40</v>
      </c>
      <c r="D33" s="613"/>
      <c r="E33" s="613"/>
      <c r="F33" s="613"/>
      <c r="G33" s="613"/>
      <c r="H33" s="615"/>
      <c r="I33" s="616"/>
      <c r="J33" s="146" t="e">
        <f>SUBTOTAL(9,J13:J32)</f>
        <v>#N/A</v>
      </c>
      <c r="K33" s="170"/>
      <c r="L33" s="146">
        <f>ROUND(SUM(L13:L32),2)</f>
        <v>711466.61</v>
      </c>
      <c r="M33" s="146" t="e">
        <f>SUBTOTAL(9,M13:M32)</f>
        <v>#N/A</v>
      </c>
      <c r="N33" s="153"/>
      <c r="O33" s="85"/>
      <c r="S33" s="90"/>
      <c r="T33" s="90"/>
    </row>
    <row r="34" spans="2:20" ht="15.75">
      <c r="B34" s="152"/>
      <c r="C34" s="612" t="s">
        <v>41</v>
      </c>
      <c r="D34" s="613"/>
      <c r="E34" s="613"/>
      <c r="F34" s="613"/>
      <c r="G34" s="613"/>
      <c r="H34" s="613"/>
      <c r="I34" s="614"/>
      <c r="J34" s="171" t="e">
        <f>J33/M33</f>
        <v>#N/A</v>
      </c>
      <c r="K34" s="172"/>
      <c r="L34" s="171" t="e">
        <f>L33/M33</f>
        <v>#N/A</v>
      </c>
      <c r="M34" s="173" t="e">
        <f>J34+L34</f>
        <v>#N/A</v>
      </c>
      <c r="N34" s="153"/>
      <c r="O34" s="91"/>
    </row>
    <row r="35" spans="2:20" ht="12.75" customHeight="1">
      <c r="B35" s="152"/>
      <c r="C35" s="152"/>
      <c r="D35" s="152"/>
      <c r="E35" s="152"/>
      <c r="F35" s="152"/>
      <c r="G35" s="152"/>
      <c r="H35" s="152"/>
      <c r="I35" s="55"/>
      <c r="J35" s="152"/>
      <c r="K35" s="152"/>
      <c r="L35" s="152"/>
      <c r="M35" s="152"/>
      <c r="N35" s="153"/>
      <c r="O35" s="92"/>
    </row>
    <row r="36" spans="2:20" ht="28.5" customHeight="1">
      <c r="C36" s="611"/>
      <c r="D36" s="611"/>
      <c r="E36" s="611"/>
      <c r="F36" s="611"/>
      <c r="G36" s="611"/>
      <c r="H36" s="611"/>
      <c r="I36" s="611"/>
      <c r="J36" s="611"/>
      <c r="K36" s="611"/>
      <c r="L36" s="611"/>
      <c r="M36" s="611"/>
      <c r="O36" s="91"/>
    </row>
    <row r="37" spans="2:20" ht="17.25" customHeight="1">
      <c r="M37" s="67"/>
      <c r="P37" s="90"/>
      <c r="Q37" s="93"/>
      <c r="R37" s="90"/>
    </row>
    <row r="38" spans="2:20" ht="23.25" customHeight="1">
      <c r="I38" s="56"/>
      <c r="J38" s="67"/>
      <c r="K38" s="67"/>
      <c r="L38" s="67"/>
      <c r="M38" s="67"/>
      <c r="P38" s="90"/>
    </row>
    <row r="39" spans="2:20">
      <c r="I39" s="80"/>
      <c r="J39" s="67"/>
      <c r="K39" s="67"/>
      <c r="L39" s="234"/>
      <c r="P39" s="90"/>
    </row>
    <row r="40" spans="2:20">
      <c r="J40" s="79"/>
      <c r="L40" s="234"/>
    </row>
    <row r="41" spans="2:20">
      <c r="P41" s="90"/>
    </row>
    <row r="42" spans="2:20">
      <c r="M42" s="79"/>
      <c r="P42" s="90"/>
    </row>
    <row r="43" spans="2:20">
      <c r="J43" s="67"/>
      <c r="P43" s="90"/>
    </row>
  </sheetData>
  <mergeCells count="47">
    <mergeCell ref="D31:G31"/>
    <mergeCell ref="H31:I31"/>
    <mergeCell ref="D28:G28"/>
    <mergeCell ref="H28:I28"/>
    <mergeCell ref="D29:G29"/>
    <mergeCell ref="H29:I29"/>
    <mergeCell ref="D30:G30"/>
    <mergeCell ref="H15:I15"/>
    <mergeCell ref="D15:G15"/>
    <mergeCell ref="D18:G18"/>
    <mergeCell ref="D27:G27"/>
    <mergeCell ref="H27:I27"/>
    <mergeCell ref="D26:G26"/>
    <mergeCell ref="D25:G25"/>
    <mergeCell ref="H18:I18"/>
    <mergeCell ref="D21:G21"/>
    <mergeCell ref="H30:I30"/>
    <mergeCell ref="D22:G22"/>
    <mergeCell ref="H21:I21"/>
    <mergeCell ref="C5:M5"/>
    <mergeCell ref="D13:G13"/>
    <mergeCell ref="C11:M11"/>
    <mergeCell ref="D12:G12"/>
    <mergeCell ref="D17:G17"/>
    <mergeCell ref="D16:G16"/>
    <mergeCell ref="H16:I16"/>
    <mergeCell ref="H17:I17"/>
    <mergeCell ref="H12:I12"/>
    <mergeCell ref="D14:G14"/>
    <mergeCell ref="H14:I14"/>
    <mergeCell ref="H13:I13"/>
    <mergeCell ref="D32:G32"/>
    <mergeCell ref="H32:I32"/>
    <mergeCell ref="C36:M36"/>
    <mergeCell ref="C34:I34"/>
    <mergeCell ref="H19:I19"/>
    <mergeCell ref="C33:I33"/>
    <mergeCell ref="D23:G23"/>
    <mergeCell ref="H23:I23"/>
    <mergeCell ref="D19:G19"/>
    <mergeCell ref="H20:I20"/>
    <mergeCell ref="H22:I22"/>
    <mergeCell ref="H25:I25"/>
    <mergeCell ref="D24:G24"/>
    <mergeCell ref="H26:I26"/>
    <mergeCell ref="D20:G20"/>
    <mergeCell ref="H24:I24"/>
  </mergeCells>
  <phoneticPr fontId="5" type="noConversion"/>
  <pageMargins left="1.3385826771653544" right="0.74803149606299213" top="0.98425196850393704" bottom="0.98425196850393704"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Plan13"/>
  <dimension ref="B2:T90"/>
  <sheetViews>
    <sheetView showGridLines="0" view="pageBreakPreview" topLeftCell="A4" zoomScale="89" zoomScaleSheetLayoutView="89" workbookViewId="0">
      <selection activeCell="K15" sqref="K15"/>
    </sheetView>
  </sheetViews>
  <sheetFormatPr defaultRowHeight="12.75" customHeight="1"/>
  <cols>
    <col min="1" max="1" width="4" style="4" customWidth="1"/>
    <col min="2" max="2" width="1.85546875" style="4" customWidth="1"/>
    <col min="3" max="3" width="11" style="23" bestFit="1" customWidth="1"/>
    <col min="4" max="4" width="60.85546875" style="22" customWidth="1"/>
    <col min="5" max="5" width="18.7109375" style="4" customWidth="1"/>
    <col min="6" max="6" width="21.85546875" style="4" customWidth="1"/>
    <col min="7" max="7" width="18.7109375" style="4" customWidth="1"/>
    <col min="8" max="8" width="17.5703125" style="4" customWidth="1"/>
    <col min="9" max="9" width="15.140625" style="4" customWidth="1"/>
    <col min="10" max="10" width="1.7109375" style="4" customWidth="1"/>
    <col min="11" max="17" width="16.28515625" style="4" customWidth="1"/>
    <col min="18" max="18" width="13" style="4" customWidth="1"/>
    <col min="19" max="16384" width="9.140625" style="4"/>
  </cols>
  <sheetData>
    <row r="2" spans="2:20" ht="12.75" customHeight="1">
      <c r="C2" s="1"/>
      <c r="D2" s="2"/>
      <c r="E2" s="3"/>
      <c r="F2" s="3"/>
      <c r="H2" s="3"/>
      <c r="I2" s="3"/>
      <c r="J2" s="3"/>
      <c r="K2" s="3"/>
      <c r="L2" s="3"/>
      <c r="M2" s="3"/>
      <c r="N2" s="3"/>
      <c r="O2" s="3"/>
      <c r="P2" s="3"/>
      <c r="Q2" s="3"/>
      <c r="R2" s="3"/>
    </row>
    <row r="3" spans="2:20" ht="22.5" customHeight="1">
      <c r="D3" s="66"/>
      <c r="E3" s="66" t="s">
        <v>47</v>
      </c>
      <c r="F3" s="66"/>
      <c r="G3" s="66"/>
      <c r="H3" s="66"/>
      <c r="I3" s="66"/>
      <c r="J3" s="5"/>
      <c r="K3" s="5"/>
      <c r="L3" s="5"/>
      <c r="M3" s="5"/>
      <c r="N3" s="5"/>
      <c r="O3" s="5"/>
      <c r="P3" s="5"/>
      <c r="Q3" s="5"/>
      <c r="R3" s="5"/>
    </row>
    <row r="4" spans="2:20" ht="12.75" customHeight="1">
      <c r="C4" s="1"/>
      <c r="D4" s="6"/>
      <c r="E4" s="6"/>
      <c r="F4" s="6"/>
      <c r="G4" s="6"/>
      <c r="H4" s="6"/>
      <c r="I4" s="6"/>
      <c r="J4" s="6"/>
      <c r="K4" s="6"/>
      <c r="L4" s="6"/>
      <c r="M4" s="6"/>
      <c r="N4" s="6"/>
      <c r="O4" s="6"/>
      <c r="P4" s="6"/>
      <c r="Q4" s="6"/>
      <c r="R4" s="6"/>
    </row>
    <row r="5" spans="2:20" ht="18" customHeight="1">
      <c r="C5" s="1"/>
      <c r="D5" s="7"/>
      <c r="E5" s="8"/>
      <c r="F5" s="3"/>
      <c r="G5" s="430"/>
      <c r="H5" s="3"/>
      <c r="I5" s="3"/>
      <c r="J5" s="3"/>
      <c r="K5" s="3"/>
      <c r="L5" s="3"/>
      <c r="M5" s="3"/>
      <c r="N5" s="3"/>
      <c r="O5" s="3"/>
      <c r="P5" s="3"/>
      <c r="Q5" s="3"/>
      <c r="R5" s="3"/>
    </row>
    <row r="6" spans="2:20" ht="23.25" customHeight="1" thickBot="1">
      <c r="C6" s="9"/>
      <c r="D6" s="10"/>
      <c r="E6" s="8"/>
      <c r="F6" s="8"/>
      <c r="G6" s="8"/>
      <c r="H6" s="3"/>
      <c r="I6" s="8"/>
      <c r="J6" s="8"/>
      <c r="K6" s="8"/>
      <c r="L6" s="8"/>
      <c r="M6" s="8"/>
      <c r="N6" s="8"/>
      <c r="O6" s="8"/>
      <c r="P6" s="8"/>
      <c r="Q6" s="8"/>
      <c r="R6" s="8"/>
    </row>
    <row r="7" spans="2:20" ht="20.25" customHeight="1">
      <c r="C7" s="640" t="s">
        <v>7</v>
      </c>
      <c r="D7" s="636" t="s">
        <v>42</v>
      </c>
      <c r="E7" s="630" t="s">
        <v>48</v>
      </c>
      <c r="F7" s="631"/>
      <c r="G7" s="631"/>
      <c r="H7" s="642" t="s">
        <v>0</v>
      </c>
      <c r="I7" s="632" t="s">
        <v>37</v>
      </c>
      <c r="J7" s="226"/>
      <c r="K7" s="8"/>
      <c r="L7" s="8"/>
      <c r="M7" s="8"/>
      <c r="N7" s="8"/>
      <c r="O7" s="8"/>
      <c r="P7" s="8"/>
      <c r="Q7" s="8"/>
      <c r="R7" s="8"/>
    </row>
    <row r="8" spans="2:20" ht="20.25" customHeight="1">
      <c r="C8" s="641"/>
      <c r="D8" s="637"/>
      <c r="E8" s="11" t="s">
        <v>49</v>
      </c>
      <c r="F8" s="11" t="s">
        <v>50</v>
      </c>
      <c r="G8" s="11" t="s">
        <v>51</v>
      </c>
      <c r="H8" s="643"/>
      <c r="I8" s="633"/>
      <c r="J8" s="54"/>
    </row>
    <row r="9" spans="2:20" ht="17.25" customHeight="1">
      <c r="C9" s="41"/>
      <c r="D9" s="12"/>
      <c r="E9" s="13"/>
      <c r="F9" s="13"/>
      <c r="G9" s="13"/>
      <c r="H9" s="39"/>
      <c r="I9" s="42"/>
      <c r="J9" s="54"/>
      <c r="S9" s="14"/>
      <c r="T9" s="14"/>
    </row>
    <row r="10" spans="2:20" s="52" customFormat="1" ht="17.25" customHeight="1">
      <c r="B10" s="54"/>
      <c r="C10" s="49">
        <v>1</v>
      </c>
      <c r="D10" s="50" t="str">
        <f>Orçamento!G24</f>
        <v>SERVIÇOS PRELIMINARES</v>
      </c>
      <c r="E10" s="51">
        <v>1</v>
      </c>
      <c r="F10" s="51">
        <v>0</v>
      </c>
      <c r="G10" s="51">
        <v>0</v>
      </c>
      <c r="H10" s="634">
        <f>Orçamento!P24</f>
        <v>0</v>
      </c>
      <c r="I10" s="638" t="e">
        <f>(H10*100%)/$H$21</f>
        <v>#DIV/0!</v>
      </c>
      <c r="J10" s="54"/>
      <c r="K10" s="466"/>
      <c r="S10" s="53"/>
      <c r="T10" s="53"/>
    </row>
    <row r="11" spans="2:20" ht="17.25" customHeight="1">
      <c r="B11" s="54"/>
      <c r="C11" s="43"/>
      <c r="D11" s="70"/>
      <c r="E11" s="16">
        <f>$H$10*E10</f>
        <v>0</v>
      </c>
      <c r="F11" s="16">
        <f>$H$10*F10</f>
        <v>0</v>
      </c>
      <c r="G11" s="16">
        <f>$H$10*G10</f>
        <v>0</v>
      </c>
      <c r="H11" s="635"/>
      <c r="I11" s="639"/>
      <c r="J11" s="54"/>
      <c r="S11" s="15"/>
      <c r="T11" s="15"/>
    </row>
    <row r="12" spans="2:20" s="52" customFormat="1" ht="17.25" customHeight="1">
      <c r="B12" s="54"/>
      <c r="C12" s="49">
        <v>2</v>
      </c>
      <c r="D12" s="50" t="str">
        <f>Orçamento!G27</f>
        <v>FUNDAÇÃO</v>
      </c>
      <c r="E12" s="51">
        <v>0.6</v>
      </c>
      <c r="F12" s="51">
        <v>0.4</v>
      </c>
      <c r="G12" s="51">
        <v>0</v>
      </c>
      <c r="H12" s="634">
        <f>Orçamento!P27</f>
        <v>0</v>
      </c>
      <c r="I12" s="638" t="e">
        <f>(H12*100%)/$H$21</f>
        <v>#DIV/0!</v>
      </c>
      <c r="J12" s="54"/>
      <c r="K12" s="466"/>
      <c r="S12" s="53"/>
      <c r="T12" s="53"/>
    </row>
    <row r="13" spans="2:20" ht="17.25" customHeight="1">
      <c r="B13" s="54"/>
      <c r="C13" s="43"/>
      <c r="D13" s="70"/>
      <c r="E13" s="16">
        <f>$H$12*E12</f>
        <v>0</v>
      </c>
      <c r="F13" s="16">
        <f>$H$12*F12</f>
        <v>0</v>
      </c>
      <c r="G13" s="16">
        <f>$H$12*G12</f>
        <v>0</v>
      </c>
      <c r="H13" s="635"/>
      <c r="I13" s="639"/>
      <c r="J13" s="54"/>
      <c r="S13" s="15"/>
      <c r="T13" s="15"/>
    </row>
    <row r="14" spans="2:20" s="52" customFormat="1" ht="17.25" customHeight="1">
      <c r="B14" s="54"/>
      <c r="C14" s="49">
        <v>3</v>
      </c>
      <c r="D14" s="50" t="str">
        <f>Orçamento!G37</f>
        <v>MURO DE CONTENÇÃO</v>
      </c>
      <c r="E14" s="51">
        <v>0.3</v>
      </c>
      <c r="F14" s="51">
        <v>0.7</v>
      </c>
      <c r="G14" s="51">
        <v>0</v>
      </c>
      <c r="H14" s="634">
        <f>Orçamento!P37</f>
        <v>0</v>
      </c>
      <c r="I14" s="638" t="e">
        <f>(H14*100%)/$H$21</f>
        <v>#DIV/0!</v>
      </c>
      <c r="J14" s="54"/>
      <c r="K14" s="466"/>
      <c r="S14" s="53"/>
      <c r="T14" s="53"/>
    </row>
    <row r="15" spans="2:20" ht="17.25" customHeight="1">
      <c r="B15" s="54"/>
      <c r="C15" s="43"/>
      <c r="D15" s="70"/>
      <c r="E15" s="16">
        <f>$H$14*E14</f>
        <v>0</v>
      </c>
      <c r="F15" s="16">
        <f>$H$14*F14</f>
        <v>0</v>
      </c>
      <c r="G15" s="16">
        <f>$H$14*G14</f>
        <v>0</v>
      </c>
      <c r="H15" s="635"/>
      <c r="I15" s="639"/>
      <c r="J15" s="54"/>
      <c r="S15" s="15"/>
      <c r="T15" s="15"/>
    </row>
    <row r="16" spans="2:20" s="52" customFormat="1" ht="17.25" customHeight="1">
      <c r="B16" s="54"/>
      <c r="C16" s="49">
        <v>4</v>
      </c>
      <c r="D16" s="50" t="str">
        <f>Orçamento!G52</f>
        <v>GALPÃO E COBERTURA</v>
      </c>
      <c r="E16" s="51">
        <v>0.3</v>
      </c>
      <c r="F16" s="51">
        <v>0.4</v>
      </c>
      <c r="G16" s="51">
        <v>0.4</v>
      </c>
      <c r="H16" s="634">
        <f>Orçamento!P52</f>
        <v>0</v>
      </c>
      <c r="I16" s="638" t="e">
        <f>(H16*100%)/$H$21</f>
        <v>#DIV/0!</v>
      </c>
      <c r="J16" s="54"/>
      <c r="S16" s="53"/>
      <c r="T16" s="53"/>
    </row>
    <row r="17" spans="2:20" ht="17.25" customHeight="1">
      <c r="B17" s="54"/>
      <c r="C17" s="43"/>
      <c r="D17" s="70"/>
      <c r="E17" s="16">
        <f>$H$16*E16</f>
        <v>0</v>
      </c>
      <c r="F17" s="16">
        <f>$H$16*F16</f>
        <v>0</v>
      </c>
      <c r="G17" s="16">
        <f>$H$16*G16</f>
        <v>0</v>
      </c>
      <c r="H17" s="635"/>
      <c r="I17" s="639"/>
      <c r="J17" s="54"/>
      <c r="S17" s="15"/>
      <c r="T17" s="15"/>
    </row>
    <row r="18" spans="2:20" s="17" customFormat="1" ht="22.5" customHeight="1">
      <c r="C18" s="49">
        <v>5</v>
      </c>
      <c r="D18" s="50" t="str">
        <f>Orçamento!G63</f>
        <v>RAMPAS DE ACESSO</v>
      </c>
      <c r="E18" s="51">
        <v>0</v>
      </c>
      <c r="F18" s="51">
        <v>0.8</v>
      </c>
      <c r="G18" s="51">
        <v>0.2</v>
      </c>
      <c r="H18" s="634">
        <f>Orçamento!P63</f>
        <v>0</v>
      </c>
      <c r="I18" s="638" t="e">
        <f>(H18*100%)/$H$21</f>
        <v>#DIV/0!</v>
      </c>
      <c r="S18" s="18"/>
      <c r="T18" s="18"/>
    </row>
    <row r="19" spans="2:20" s="17" customFormat="1" ht="15.75">
      <c r="C19" s="43"/>
      <c r="D19" s="70"/>
      <c r="E19" s="16">
        <f>$H$18*E18</f>
        <v>0</v>
      </c>
      <c r="F19" s="16">
        <f>$H$18*F18</f>
        <v>0</v>
      </c>
      <c r="G19" s="16">
        <f>$H$18*G18</f>
        <v>0</v>
      </c>
      <c r="H19" s="635"/>
      <c r="I19" s="639"/>
      <c r="S19" s="18"/>
      <c r="T19" s="18"/>
    </row>
    <row r="20" spans="2:20" s="17" customFormat="1" ht="15.75">
      <c r="C20" s="465"/>
      <c r="D20" s="441"/>
      <c r="E20" s="16"/>
      <c r="F20" s="16"/>
      <c r="G20" s="16"/>
      <c r="H20" s="65"/>
      <c r="I20" s="69"/>
      <c r="S20" s="18"/>
      <c r="T20" s="18"/>
    </row>
    <row r="21" spans="2:20" s="17" customFormat="1" ht="15.75">
      <c r="C21" s="626" t="s">
        <v>52</v>
      </c>
      <c r="D21" s="627"/>
      <c r="E21" s="68">
        <f>SUM(E11+E13+E15+E17+E19)</f>
        <v>0</v>
      </c>
      <c r="F21" s="68">
        <f>SUM(F11+F13+F15+F17+F19)</f>
        <v>0</v>
      </c>
      <c r="G21" s="68">
        <f>SUM(G11+G13+G15+G17+G19)</f>
        <v>0</v>
      </c>
      <c r="H21" s="71">
        <f>ROUND(SUM(H10:H19),2)</f>
        <v>0</v>
      </c>
      <c r="I21" s="148" t="e">
        <f>ROUND(SUM(I10:I19),2)</f>
        <v>#DIV/0!</v>
      </c>
      <c r="J21" s="19"/>
      <c r="K21" s="19"/>
      <c r="L21" s="19"/>
      <c r="M21" s="19"/>
      <c r="N21" s="19"/>
      <c r="O21" s="19"/>
      <c r="P21" s="19"/>
      <c r="Q21" s="19"/>
      <c r="R21" s="19"/>
      <c r="S21" s="18"/>
      <c r="T21" s="18"/>
    </row>
    <row r="22" spans="2:20" ht="21" customHeight="1">
      <c r="C22" s="628" t="s">
        <v>37</v>
      </c>
      <c r="D22" s="629"/>
      <c r="E22" s="38" t="e">
        <f>(E21*100%)/$H$21</f>
        <v>#DIV/0!</v>
      </c>
      <c r="F22" s="38" t="e">
        <f>(F21*100%)/$H$21</f>
        <v>#DIV/0!</v>
      </c>
      <c r="G22" s="38" t="e">
        <f>(G21*100%)/$H$21</f>
        <v>#DIV/0!</v>
      </c>
      <c r="H22" s="40"/>
      <c r="I22" s="44"/>
      <c r="J22" s="20"/>
      <c r="K22" s="20"/>
      <c r="L22" s="20"/>
      <c r="M22" s="20"/>
      <c r="N22" s="20"/>
      <c r="O22" s="20"/>
      <c r="P22" s="20"/>
      <c r="Q22" s="20"/>
      <c r="R22" s="20"/>
    </row>
    <row r="23" spans="2:20" ht="21" customHeight="1" thickBot="1">
      <c r="C23" s="624" t="s">
        <v>53</v>
      </c>
      <c r="D23" s="625"/>
      <c r="E23" s="45" t="e">
        <f>E22</f>
        <v>#DIV/0!</v>
      </c>
      <c r="F23" s="46" t="e">
        <f>E23+F22</f>
        <v>#DIV/0!</v>
      </c>
      <c r="G23" s="46" t="e">
        <f>F23+G22</f>
        <v>#DIV/0!</v>
      </c>
      <c r="H23" s="47"/>
      <c r="I23" s="48"/>
      <c r="J23" s="20"/>
      <c r="K23" s="20"/>
      <c r="L23" s="20"/>
      <c r="M23" s="20"/>
      <c r="N23" s="20"/>
      <c r="O23" s="20"/>
      <c r="P23" s="20"/>
      <c r="Q23" s="20"/>
      <c r="R23" s="20"/>
    </row>
    <row r="24" spans="2:20">
      <c r="C24" s="24"/>
      <c r="D24" s="25"/>
      <c r="E24" s="36"/>
      <c r="F24" s="20"/>
      <c r="G24" s="20"/>
      <c r="H24" s="20"/>
      <c r="I24" s="20"/>
      <c r="J24" s="20"/>
      <c r="K24" s="20"/>
      <c r="L24" s="20"/>
      <c r="M24" s="20"/>
      <c r="N24" s="20"/>
      <c r="O24" s="20"/>
      <c r="P24" s="20"/>
      <c r="Q24" s="20"/>
      <c r="R24" s="20"/>
    </row>
    <row r="25" spans="2:20">
      <c r="C25" s="26"/>
      <c r="D25" s="27"/>
      <c r="E25" s="37"/>
    </row>
    <row r="26" spans="2:20">
      <c r="C26" s="24"/>
      <c r="D26" s="28"/>
      <c r="E26" s="37"/>
    </row>
    <row r="27" spans="2:20">
      <c r="C27" s="24"/>
      <c r="D27" s="29"/>
      <c r="E27" s="37"/>
    </row>
    <row r="28" spans="2:20">
      <c r="C28" s="24"/>
      <c r="D28" s="30"/>
      <c r="E28" s="37"/>
    </row>
    <row r="29" spans="2:20">
      <c r="C29" s="24"/>
      <c r="D29" s="31"/>
      <c r="E29" s="37"/>
    </row>
    <row r="30" spans="2:20">
      <c r="C30" s="24"/>
      <c r="D30" s="30"/>
      <c r="E30" s="37"/>
    </row>
    <row r="31" spans="2:20">
      <c r="C31" s="32"/>
      <c r="D31" s="33"/>
      <c r="E31" s="37"/>
    </row>
    <row r="32" spans="2:20">
      <c r="C32" s="34"/>
      <c r="D32" s="35"/>
      <c r="E32" s="37"/>
    </row>
    <row r="33" spans="3:4">
      <c r="C33" s="21"/>
    </row>
    <row r="34" spans="3:4">
      <c r="C34" s="21"/>
    </row>
    <row r="35" spans="3:4">
      <c r="C35" s="21"/>
    </row>
    <row r="36" spans="3:4">
      <c r="C36" s="21"/>
    </row>
    <row r="37" spans="3:4">
      <c r="C37" s="21"/>
    </row>
    <row r="38" spans="3:4">
      <c r="C38" s="21"/>
    </row>
    <row r="39" spans="3:4">
      <c r="C39" s="21"/>
    </row>
    <row r="40" spans="3:4">
      <c r="C40" s="21"/>
    </row>
    <row r="41" spans="3:4">
      <c r="C41" s="21"/>
    </row>
    <row r="42" spans="3:4">
      <c r="C42" s="21"/>
    </row>
    <row r="43" spans="3:4">
      <c r="C43" s="21"/>
    </row>
    <row r="44" spans="3:4">
      <c r="C44" s="21"/>
    </row>
    <row r="45" spans="3:4">
      <c r="C45" s="21"/>
      <c r="D45" s="4"/>
    </row>
    <row r="46" spans="3:4">
      <c r="C46" s="21"/>
      <c r="D46" s="4"/>
    </row>
    <row r="47" spans="3:4">
      <c r="C47" s="21"/>
      <c r="D47" s="4"/>
    </row>
    <row r="48" spans="3:4">
      <c r="C48" s="21"/>
      <c r="D48" s="4"/>
    </row>
    <row r="49" spans="3:4">
      <c r="C49" s="21"/>
      <c r="D49" s="4"/>
    </row>
    <row r="50" spans="3:4">
      <c r="C50" s="21"/>
      <c r="D50" s="4"/>
    </row>
    <row r="51" spans="3:4">
      <c r="C51" s="21"/>
      <c r="D51" s="4"/>
    </row>
    <row r="52" spans="3:4">
      <c r="C52" s="21"/>
      <c r="D52" s="4"/>
    </row>
    <row r="53" spans="3:4">
      <c r="C53" s="21"/>
      <c r="D53" s="4"/>
    </row>
    <row r="54" spans="3:4">
      <c r="C54" s="21"/>
      <c r="D54" s="4"/>
    </row>
    <row r="55" spans="3:4">
      <c r="C55" s="21"/>
      <c r="D55" s="4"/>
    </row>
    <row r="56" spans="3:4">
      <c r="C56" s="21"/>
      <c r="D56" s="4"/>
    </row>
    <row r="57" spans="3:4">
      <c r="C57" s="21"/>
      <c r="D57" s="4"/>
    </row>
    <row r="58" spans="3:4">
      <c r="C58" s="21"/>
      <c r="D58" s="4"/>
    </row>
    <row r="59" spans="3:4">
      <c r="C59" s="21"/>
      <c r="D59" s="4"/>
    </row>
    <row r="60" spans="3:4">
      <c r="C60" s="21"/>
      <c r="D60" s="4"/>
    </row>
    <row r="61" spans="3:4">
      <c r="C61" s="21"/>
      <c r="D61" s="4"/>
    </row>
    <row r="62" spans="3:4">
      <c r="C62" s="21"/>
      <c r="D62" s="4"/>
    </row>
    <row r="63" spans="3:4">
      <c r="C63" s="21"/>
      <c r="D63" s="4"/>
    </row>
    <row r="64" spans="3:4">
      <c r="C64" s="21"/>
      <c r="D64" s="4"/>
    </row>
    <row r="65" spans="3:4">
      <c r="C65" s="21"/>
      <c r="D65" s="4"/>
    </row>
    <row r="66" spans="3:4">
      <c r="C66" s="21"/>
      <c r="D66" s="4"/>
    </row>
    <row r="67" spans="3:4">
      <c r="C67" s="21"/>
      <c r="D67" s="4"/>
    </row>
    <row r="68" spans="3:4">
      <c r="C68" s="21"/>
      <c r="D68" s="4"/>
    </row>
    <row r="69" spans="3:4">
      <c r="C69" s="21"/>
      <c r="D69" s="4"/>
    </row>
    <row r="70" spans="3:4">
      <c r="C70" s="21"/>
      <c r="D70" s="4"/>
    </row>
    <row r="71" spans="3:4">
      <c r="C71" s="21"/>
      <c r="D71" s="4"/>
    </row>
    <row r="72" spans="3:4">
      <c r="C72" s="21"/>
      <c r="D72" s="4"/>
    </row>
    <row r="73" spans="3:4">
      <c r="C73" s="21"/>
      <c r="D73" s="4"/>
    </row>
    <row r="74" spans="3:4">
      <c r="C74" s="21"/>
      <c r="D74" s="4"/>
    </row>
    <row r="75" spans="3:4">
      <c r="C75" s="21"/>
      <c r="D75" s="4"/>
    </row>
    <row r="76" spans="3:4">
      <c r="C76" s="21"/>
      <c r="D76" s="4"/>
    </row>
    <row r="77" spans="3:4">
      <c r="C77" s="21"/>
      <c r="D77" s="4"/>
    </row>
    <row r="78" spans="3:4">
      <c r="C78" s="21"/>
      <c r="D78" s="4"/>
    </row>
    <row r="79" spans="3:4">
      <c r="C79" s="21"/>
      <c r="D79" s="4"/>
    </row>
    <row r="80" spans="3:4">
      <c r="C80" s="21"/>
      <c r="D80" s="4"/>
    </row>
    <row r="81" spans="3:4">
      <c r="C81" s="21"/>
      <c r="D81" s="4"/>
    </row>
    <row r="82" spans="3:4">
      <c r="C82" s="21"/>
      <c r="D82" s="4"/>
    </row>
    <row r="83" spans="3:4">
      <c r="C83" s="21"/>
      <c r="D83" s="4"/>
    </row>
    <row r="84" spans="3:4">
      <c r="C84" s="21"/>
      <c r="D84" s="4"/>
    </row>
    <row r="85" spans="3:4">
      <c r="C85" s="21"/>
      <c r="D85" s="4"/>
    </row>
    <row r="86" spans="3:4">
      <c r="C86" s="21"/>
      <c r="D86" s="4"/>
    </row>
    <row r="87" spans="3:4">
      <c r="C87" s="21"/>
      <c r="D87" s="4"/>
    </row>
    <row r="88" spans="3:4">
      <c r="C88" s="21"/>
      <c r="D88" s="4"/>
    </row>
    <row r="89" spans="3:4">
      <c r="C89" s="21"/>
      <c r="D89" s="4"/>
    </row>
    <row r="90" spans="3:4">
      <c r="C90" s="21"/>
      <c r="D90" s="4"/>
    </row>
  </sheetData>
  <mergeCells count="18">
    <mergeCell ref="H7:H8"/>
    <mergeCell ref="I10:I11"/>
    <mergeCell ref="C23:D23"/>
    <mergeCell ref="C21:D21"/>
    <mergeCell ref="C22:D22"/>
    <mergeCell ref="E7:G7"/>
    <mergeCell ref="I7:I8"/>
    <mergeCell ref="H10:H11"/>
    <mergeCell ref="H16:H17"/>
    <mergeCell ref="D7:D8"/>
    <mergeCell ref="I14:I15"/>
    <mergeCell ref="I16:I17"/>
    <mergeCell ref="H18:H19"/>
    <mergeCell ref="I18:I19"/>
    <mergeCell ref="C7:C8"/>
    <mergeCell ref="H14:H15"/>
    <mergeCell ref="I12:I13"/>
    <mergeCell ref="H12:H13"/>
  </mergeCells>
  <phoneticPr fontId="5" type="noConversion"/>
  <printOptions horizontalCentered="1"/>
  <pageMargins left="0.19685039370078741" right="0.19685039370078741" top="0.31496062992125984" bottom="0.39370078740157483" header="0.51181102362204722" footer="0.51181102362204722"/>
  <pageSetup paperSize="9" scale="55" fitToWidth="0" fitToHeight="0" orientation="landscape" horizontalDpi="300" verticalDpi="300"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6</vt:i4>
      </vt:variant>
    </vt:vector>
  </HeadingPairs>
  <TitlesOfParts>
    <vt:vector size="10" baseType="lpstr">
      <vt:lpstr>Orçamento</vt:lpstr>
      <vt:lpstr>Quant.</vt:lpstr>
      <vt:lpstr>QCI</vt:lpstr>
      <vt:lpstr>Cronograma</vt:lpstr>
      <vt:lpstr>Cronograma!Area_de_impressao</vt:lpstr>
      <vt:lpstr>Orçamento!Area_de_impressao</vt:lpstr>
      <vt:lpstr>QCI!Area_de_impressao</vt:lpstr>
      <vt:lpstr>Quant.!Area_de_impressao</vt:lpstr>
      <vt:lpstr>Orçamento!Titulos_de_impressao</vt:lpstr>
      <vt:lpstr>Quant.!Titulos_de_impressao</vt:lpstr>
    </vt:vector>
  </TitlesOfParts>
  <Company>EMPRESA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Enderson</dc:creator>
  <cp:lastModifiedBy>Secretaria de Administração Secretaria</cp:lastModifiedBy>
  <cp:lastPrinted>2015-08-25T20:13:57Z</cp:lastPrinted>
  <dcterms:created xsi:type="dcterms:W3CDTF">2006-10-11T16:00:36Z</dcterms:created>
  <dcterms:modified xsi:type="dcterms:W3CDTF">2015-08-27T19:01:00Z</dcterms:modified>
</cp:coreProperties>
</file>